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Anouar 2019\Hassoune Conseil\9-Dossiers en cours\WARA\6-Missions analytiques\Sonatel\2021\"/>
    </mc:Choice>
  </mc:AlternateContent>
  <xr:revisionPtr revIDLastSave="0" documentId="13_ncr:1_{C16E3AAA-E34A-4E45-8822-CC6E23A718E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ynthèse données &amp; ratios" sheetId="14" r:id="rId1"/>
  </sheets>
  <externalReferences>
    <externalReference r:id="rId2"/>
  </externalReferences>
  <definedNames>
    <definedName name="crossborder">[1]CBI!#REF!</definedName>
    <definedName name="global">[1]CBI!#REF!</definedName>
    <definedName name="moodynum">[1]CBI!#REF!</definedName>
    <definedName name="stats_1">[1]CBI!#REF!</definedName>
    <definedName name="stats_2">[1]CBI!#REF!</definedName>
  </definedNames>
  <calcPr calcId="191029" iterate="1" iterateCount="10" concurrentCalc="0"/>
</workbook>
</file>

<file path=xl/calcChain.xml><?xml version="1.0" encoding="utf-8"?>
<calcChain xmlns="http://schemas.openxmlformats.org/spreadsheetml/2006/main">
  <c r="D32" i="14" l="1"/>
  <c r="D5" i="14"/>
  <c r="D6" i="14"/>
  <c r="D7" i="14"/>
  <c r="D8" i="14"/>
  <c r="D10" i="14"/>
  <c r="D11" i="14"/>
  <c r="D12" i="14"/>
  <c r="D13" i="14"/>
  <c r="D14" i="14"/>
  <c r="D17" i="14"/>
  <c r="D18" i="14"/>
  <c r="D19" i="14"/>
  <c r="D22" i="14"/>
  <c r="D23" i="14"/>
  <c r="D24" i="14"/>
  <c r="D27" i="14"/>
  <c r="D28" i="14"/>
  <c r="D30" i="14"/>
  <c r="D29" i="14"/>
  <c r="D31" i="14"/>
  <c r="D53" i="14"/>
  <c r="C40" i="14"/>
  <c r="D40" i="14"/>
  <c r="D58" i="14"/>
  <c r="D39" i="14"/>
  <c r="D41" i="14"/>
  <c r="D43" i="14"/>
  <c r="D143" i="14"/>
  <c r="D45" i="14"/>
  <c r="C45" i="14"/>
  <c r="D109" i="14"/>
  <c r="D56" i="14"/>
  <c r="D57" i="14"/>
  <c r="D59" i="14"/>
  <c r="D60" i="14"/>
  <c r="D61" i="14"/>
  <c r="C61" i="14"/>
  <c r="D124" i="14"/>
  <c r="D51" i="14"/>
  <c r="D48" i="14"/>
  <c r="D49" i="14"/>
  <c r="C49" i="14"/>
  <c r="D112" i="14"/>
  <c r="D50" i="14"/>
  <c r="D42" i="14"/>
  <c r="D44" i="14"/>
  <c r="D144" i="14"/>
  <c r="D34" i="14"/>
  <c r="D72" i="14"/>
  <c r="D73" i="14"/>
  <c r="D55" i="14"/>
  <c r="D52" i="14"/>
  <c r="D148" i="14"/>
  <c r="C5" i="14"/>
  <c r="C43" i="14"/>
  <c r="C10" i="14"/>
  <c r="C142" i="14"/>
  <c r="C143" i="14"/>
  <c r="C44" i="14"/>
  <c r="C108" i="14"/>
  <c r="C39" i="14"/>
  <c r="C41" i="14"/>
  <c r="C105" i="14"/>
  <c r="C42" i="14"/>
  <c r="C106" i="14"/>
  <c r="C109" i="14"/>
  <c r="C60" i="14"/>
  <c r="C59" i="14"/>
  <c r="C122" i="14"/>
  <c r="C58" i="14"/>
  <c r="C121" i="14"/>
  <c r="C57" i="14"/>
  <c r="C56" i="14"/>
  <c r="C116" i="14"/>
  <c r="C50" i="14"/>
  <c r="D113" i="14"/>
  <c r="C51" i="14"/>
  <c r="D114" i="14"/>
  <c r="C52" i="14"/>
  <c r="C112" i="14"/>
  <c r="C53" i="14"/>
  <c r="C114" i="14"/>
  <c r="D121" i="14"/>
  <c r="C62" i="14"/>
  <c r="C125" i="14"/>
  <c r="C48" i="14"/>
  <c r="C30" i="14"/>
  <c r="D97" i="14"/>
  <c r="C29" i="14"/>
  <c r="D96" i="14"/>
  <c r="C28" i="14"/>
  <c r="D95" i="14"/>
  <c r="C27" i="14"/>
  <c r="D94" i="14"/>
  <c r="C18" i="14"/>
  <c r="D89" i="14"/>
  <c r="C12" i="14"/>
  <c r="D85" i="14"/>
  <c r="C6" i="14"/>
  <c r="C7" i="14"/>
  <c r="C8" i="14"/>
  <c r="C11" i="14"/>
  <c r="C13" i="14"/>
  <c r="C14" i="14"/>
  <c r="D87" i="14"/>
  <c r="D83" i="14"/>
  <c r="D82" i="14"/>
  <c r="D80" i="14"/>
  <c r="D81" i="14"/>
  <c r="D149" i="14"/>
  <c r="C17" i="14"/>
  <c r="C19" i="14"/>
  <c r="C22" i="14"/>
  <c r="C23" i="14"/>
  <c r="C24" i="14"/>
  <c r="C31" i="14"/>
  <c r="C72" i="14"/>
  <c r="C73" i="14"/>
  <c r="D33" i="14"/>
  <c r="C149" i="14"/>
  <c r="C75" i="14"/>
  <c r="C34" i="14"/>
  <c r="C33" i="14"/>
  <c r="C32" i="14"/>
  <c r="D145" i="14"/>
  <c r="D137" i="14"/>
  <c r="D132" i="14"/>
  <c r="D100" i="14"/>
  <c r="D93" i="14"/>
  <c r="D92" i="14"/>
  <c r="D79" i="14"/>
  <c r="C80" i="14"/>
  <c r="C84" i="14"/>
  <c r="C85" i="14"/>
  <c r="C86" i="14"/>
  <c r="C88" i="14"/>
  <c r="C91" i="14"/>
  <c r="C92" i="14"/>
  <c r="C95" i="14"/>
  <c r="C107" i="14"/>
  <c r="C113" i="14"/>
  <c r="C120" i="14"/>
  <c r="C123" i="14"/>
  <c r="C124" i="14"/>
  <c r="C137" i="14"/>
  <c r="D91" i="14"/>
  <c r="C94" i="14"/>
  <c r="C81" i="14"/>
  <c r="C100" i="14"/>
  <c r="C89" i="14"/>
  <c r="C83" i="14"/>
  <c r="C79" i="14"/>
  <c r="D15" i="14"/>
  <c r="C82" i="14"/>
  <c r="D20" i="14"/>
  <c r="C15" i="14"/>
  <c r="C87" i="14"/>
  <c r="D25" i="14"/>
  <c r="C20" i="14"/>
  <c r="C90" i="14"/>
  <c r="D90" i="14"/>
  <c r="C25" i="14"/>
  <c r="C93" i="14"/>
  <c r="C132" i="14"/>
  <c r="D54" i="14"/>
  <c r="D135" i="14"/>
  <c r="C104" i="14"/>
  <c r="D104" i="14"/>
  <c r="C55" i="14"/>
  <c r="C115" i="14"/>
  <c r="D105" i="14"/>
  <c r="C145" i="14"/>
  <c r="C144" i="14"/>
  <c r="D106" i="14"/>
  <c r="C46" i="14"/>
  <c r="C135" i="14"/>
  <c r="C150" i="14"/>
  <c r="C63" i="14"/>
  <c r="C126" i="14"/>
  <c r="D116" i="14"/>
  <c r="D118" i="14"/>
  <c r="D150" i="14"/>
  <c r="D142" i="14"/>
  <c r="C111" i="14"/>
  <c r="D111" i="14"/>
  <c r="C140" i="14"/>
  <c r="D115" i="14"/>
  <c r="D62" i="14"/>
  <c r="D125" i="14"/>
  <c r="D108" i="14"/>
  <c r="D140" i="14"/>
  <c r="D107" i="14"/>
  <c r="D46" i="14"/>
  <c r="D141" i="14"/>
  <c r="C148" i="14"/>
  <c r="D75" i="14"/>
  <c r="D110" i="14"/>
  <c r="D134" i="14"/>
  <c r="D151" i="14"/>
  <c r="D136" i="14"/>
  <c r="D133" i="14"/>
  <c r="D63" i="14"/>
  <c r="D126" i="14"/>
  <c r="C133" i="14"/>
  <c r="C134" i="14"/>
  <c r="C110" i="14"/>
  <c r="C136" i="14"/>
  <c r="C141" i="14"/>
</calcChain>
</file>

<file path=xl/sharedStrings.xml><?xml version="1.0" encoding="utf-8"?>
<sst xmlns="http://schemas.openxmlformats.org/spreadsheetml/2006/main" count="191" uniqueCount="97">
  <si>
    <t>Immobilisations incorporelles</t>
  </si>
  <si>
    <t>Immobilisations corporelles</t>
  </si>
  <si>
    <t>Immobilisations financières</t>
  </si>
  <si>
    <t>Stocks</t>
  </si>
  <si>
    <t>Créances et emplois assimilés</t>
  </si>
  <si>
    <t>Capital</t>
  </si>
  <si>
    <t>Clients, avances reçues</t>
  </si>
  <si>
    <t>Fournisseurs d'exploitation</t>
  </si>
  <si>
    <t>Dettes fiscales</t>
  </si>
  <si>
    <t>Dettes sociales</t>
  </si>
  <si>
    <t>Autres dettes</t>
  </si>
  <si>
    <t>Achats de marchandises</t>
  </si>
  <si>
    <t>Transports</t>
  </si>
  <si>
    <t>Services extérieurs</t>
  </si>
  <si>
    <t>Impôts et taxes</t>
  </si>
  <si>
    <t>Autres charges</t>
  </si>
  <si>
    <t>Dotations aux amortissements et aux provisions</t>
  </si>
  <si>
    <t>Charges de personnel</t>
  </si>
  <si>
    <t>Production immobilisée</t>
  </si>
  <si>
    <t>Autres produits</t>
  </si>
  <si>
    <t>Reprises de provisions</t>
  </si>
  <si>
    <t>RESULTAT D'EXPLOITATION</t>
  </si>
  <si>
    <t>TOTAL ACTIF</t>
  </si>
  <si>
    <t>TOTAL PASSIF</t>
  </si>
  <si>
    <t>Dettes circulantes et ressources assimilées H.A.O</t>
  </si>
  <si>
    <t>% CA</t>
  </si>
  <si>
    <t>VALEUR AJOUTEE</t>
  </si>
  <si>
    <t>PRODUITS D'EXPLOITATION</t>
  </si>
  <si>
    <t>EXCEDENT BRUT D'EXPLOITATION (EBE)</t>
  </si>
  <si>
    <t>Résultat financier</t>
  </si>
  <si>
    <t>Impôt sur le résultat</t>
  </si>
  <si>
    <t>Chiffre d'affaires (CA)</t>
  </si>
  <si>
    <t>Résultat hors activités ordinaires (H.A.O)</t>
  </si>
  <si>
    <t>Trésorerie - Actif</t>
  </si>
  <si>
    <t>Dettes financières</t>
  </si>
  <si>
    <t>Trésorerie - Passif</t>
  </si>
  <si>
    <t>Capacité d'autofinancement (CAF)</t>
  </si>
  <si>
    <t>TAUX DE CROISSANCE - BILAN (en %)</t>
  </si>
  <si>
    <t>BILAN (en millions de FCFA)</t>
  </si>
  <si>
    <t>Rentabilité</t>
  </si>
  <si>
    <t>Liquidité</t>
  </si>
  <si>
    <t>Flexibilité financière</t>
  </si>
  <si>
    <t>Notes</t>
  </si>
  <si>
    <t>(2) Dette financière nette =  Dette financière + trésorerie passif - trésorerie actif</t>
  </si>
  <si>
    <t>RN = Résultat Net</t>
  </si>
  <si>
    <t>CA = Chiffre d'affaires</t>
  </si>
  <si>
    <t>TA = Total Actif</t>
  </si>
  <si>
    <t>FP = Fonds Propres</t>
  </si>
  <si>
    <t>AC = Actif Circulant</t>
  </si>
  <si>
    <t>PC = Passif Circulant</t>
  </si>
  <si>
    <t>CAF = Capacité d'autofinancement</t>
  </si>
  <si>
    <t>Rotation des stocks (en nombre de fois / an)</t>
  </si>
  <si>
    <t>Couverture des stocks (en jours d'achats)</t>
  </si>
  <si>
    <t>(3) Taux de TVA utilisé 20%</t>
  </si>
  <si>
    <t>Marge de profit (RN/CA) en %</t>
  </si>
  <si>
    <t>Rotation des actifs (CA/TA) en %</t>
  </si>
  <si>
    <t>Levier financier (TA/FP) en %</t>
  </si>
  <si>
    <t>Retour sur fonds propres (RN/FP) en %</t>
  </si>
  <si>
    <t>ROA (RN/TA) en %</t>
  </si>
  <si>
    <t>Charges d'exploitation/Produits d'exploitation en %</t>
  </si>
  <si>
    <t>Ratio de liquidité générale (AC/PC) en %</t>
  </si>
  <si>
    <t>Ratio de liquidité de l'actif (AC/TA) en %</t>
  </si>
  <si>
    <t>(1) FCF = CAF +/- Variation de BFR - Investissements, ce sont les flux opérationnel libres de tout engagement opérationnel</t>
  </si>
  <si>
    <t>RATIOS</t>
  </si>
  <si>
    <t>Ecart de conversion</t>
  </si>
  <si>
    <t>Part des minoritaires</t>
  </si>
  <si>
    <t>Charges immobiliséés</t>
  </si>
  <si>
    <t>Impôt différés</t>
  </si>
  <si>
    <t>Parts des minoritaires</t>
  </si>
  <si>
    <t>RESULTAT NET DE L'ENSEMBLE CONSOLIDE</t>
  </si>
  <si>
    <t>Résultat net Part de l'entrprise consolidante</t>
  </si>
  <si>
    <t>Parts de l'entreprise consolidante</t>
  </si>
  <si>
    <t>Primes et réserves consolidées</t>
  </si>
  <si>
    <t>Résultat net (part de l'entreprise consolidante)</t>
  </si>
  <si>
    <t>- Investissements</t>
  </si>
  <si>
    <t>Dividendes distribués dans l'exercice</t>
  </si>
  <si>
    <t>--</t>
  </si>
  <si>
    <t>+ Aug Capital par apports nouveaux</t>
  </si>
  <si>
    <t>N/A</t>
  </si>
  <si>
    <t>Dette financière nette (2)</t>
  </si>
  <si>
    <r>
      <t xml:space="preserve">Free Cash Flow (FCF) </t>
    </r>
    <r>
      <rPr>
        <b/>
        <sz val="12"/>
        <color indexed="23"/>
        <rFont val="Garamond"/>
        <family val="1"/>
      </rPr>
      <t>(1)</t>
    </r>
  </si>
  <si>
    <r>
      <t xml:space="preserve">Délais clients (en jours de CA) </t>
    </r>
    <r>
      <rPr>
        <sz val="12"/>
        <color indexed="23"/>
        <rFont val="Garamond"/>
        <family val="1"/>
      </rPr>
      <t>(3)</t>
    </r>
  </si>
  <si>
    <r>
      <t xml:space="preserve">Délais fournisseurs (en jours de CA) </t>
    </r>
    <r>
      <rPr>
        <sz val="12"/>
        <color indexed="23"/>
        <rFont val="Garamond"/>
        <family val="1"/>
      </rPr>
      <t>(3)</t>
    </r>
  </si>
  <si>
    <t>- Remboursement emprunts (négatif si nouveaux emprunts)</t>
  </si>
  <si>
    <t>INFORMATIONS COMPLEMENTAIRES</t>
  </si>
  <si>
    <t>Effet de levier (Fonds Propres/Total Actif) en %</t>
  </si>
  <si>
    <t>2018 IFRS</t>
  </si>
  <si>
    <t>2019 IFRS</t>
  </si>
  <si>
    <t>Total des capitaux propres</t>
  </si>
  <si>
    <t>Gearing (Dette financière+Trésor Passif /FP) en %</t>
  </si>
  <si>
    <t>Couverture des charges d'intérêt (EBE/intérêts financiers) en x</t>
  </si>
  <si>
    <t>(Dette financière+ Tréso Passif)/EBE en x</t>
  </si>
  <si>
    <t>- Variation de BFR (négatif si contraction)</t>
  </si>
  <si>
    <t>2020 IFRS</t>
  </si>
  <si>
    <t>SONATEL</t>
  </si>
  <si>
    <t>COMPTE DE RESULTATS (en millions de FCFA)</t>
  </si>
  <si>
    <t>TAUX DE CROISSANCE - COMPTE DE RESULTATS (en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</si>
</sst>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5" formatCode="0.0%"/>
    <numFmt numFmtId="166" formatCode="#,##0.0"/>
    <numFmt numFmtId="167" formatCode="0.0"/>
    <numFmt numFmtId="168" formatCode="#,##0.0\x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indexed="23"/>
      <name val="Garamond"/>
      <family val="1"/>
    </font>
    <font>
      <b/>
      <sz val="12"/>
      <name val="Garamond"/>
      <family val="1"/>
    </font>
    <font>
      <sz val="12"/>
      <color indexed="23"/>
      <name val="Garamond"/>
      <family val="1"/>
    </font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u/>
      <sz val="12"/>
      <color theme="0"/>
      <name val="Garamond"/>
      <family val="1"/>
    </font>
    <font>
      <b/>
      <sz val="12"/>
      <color theme="0"/>
      <name val="Garamond"/>
      <family val="1"/>
    </font>
    <font>
      <b/>
      <sz val="12"/>
      <color theme="1"/>
      <name val="Garamond"/>
      <family val="1"/>
    </font>
    <font>
      <b/>
      <i/>
      <sz val="12"/>
      <color theme="1"/>
      <name val="Garamond"/>
      <family val="1"/>
    </font>
    <font>
      <sz val="12"/>
      <color rgb="FFFF0000"/>
      <name val="Garamond"/>
      <family val="1"/>
    </font>
    <font>
      <i/>
      <sz val="12"/>
      <color rgb="FFFF0000"/>
      <name val="Garamond"/>
      <family val="1"/>
    </font>
    <font>
      <sz val="8"/>
      <name val="Arial"/>
      <family val="2"/>
    </font>
    <font>
      <sz val="8"/>
      <name val="Calibri"/>
      <family val="2"/>
      <scheme val="minor"/>
    </font>
    <font>
      <b/>
      <sz val="14"/>
      <color rgb="FFC00000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tted">
        <color indexed="64"/>
      </top>
      <bottom/>
      <diagonal/>
    </border>
  </borders>
  <cellStyleXfs count="8">
    <xf numFmtId="0" fontId="0" fillId="0" borderId="0"/>
    <xf numFmtId="0" fontId="3" fillId="0" borderId="0"/>
    <xf numFmtId="0" fontId="4" fillId="0" borderId="0"/>
    <xf numFmtId="0" fontId="2" fillId="0" borderId="0"/>
    <xf numFmtId="9" fontId="8" fillId="0" borderId="0" applyFont="0" applyFill="0" applyBorder="0" applyAlignment="0" applyProtection="0"/>
    <xf numFmtId="9" fontId="2" fillId="0" borderId="0" applyFill="0" applyBorder="0" applyAlignment="0" applyProtection="0"/>
    <xf numFmtId="0" fontId="16" fillId="0" borderId="0"/>
    <xf numFmtId="0" fontId="1" fillId="0" borderId="0"/>
  </cellStyleXfs>
  <cellXfs count="91">
    <xf numFmtId="0" fontId="0" fillId="0" borderId="0" xfId="0"/>
    <xf numFmtId="0" fontId="9" fillId="0" borderId="0" xfId="0" applyFont="1"/>
    <xf numFmtId="0" fontId="10" fillId="2" borderId="3" xfId="0" applyFont="1" applyFill="1" applyBorder="1"/>
    <xf numFmtId="14" fontId="11" fillId="2" borderId="1" xfId="0" applyNumberFormat="1" applyFont="1" applyFill="1" applyBorder="1"/>
    <xf numFmtId="0" fontId="12" fillId="0" borderId="0" xfId="0" applyFont="1"/>
    <xf numFmtId="0" fontId="9" fillId="0" borderId="4" xfId="0" applyFont="1" applyBorder="1"/>
    <xf numFmtId="3" fontId="9" fillId="0" borderId="0" xfId="0" applyNumberFormat="1" applyFont="1" applyBorder="1"/>
    <xf numFmtId="3" fontId="9" fillId="0" borderId="7" xfId="0" applyNumberFormat="1" applyFont="1" applyBorder="1"/>
    <xf numFmtId="0" fontId="9" fillId="0" borderId="4" xfId="0" applyFont="1" applyBorder="1" applyAlignment="1">
      <alignment horizontal="left"/>
    </xf>
    <xf numFmtId="3" fontId="9" fillId="0" borderId="12" xfId="0" applyNumberFormat="1" applyFont="1" applyBorder="1"/>
    <xf numFmtId="3" fontId="9" fillId="0" borderId="13" xfId="0" applyNumberFormat="1" applyFont="1" applyBorder="1"/>
    <xf numFmtId="0" fontId="12" fillId="3" borderId="4" xfId="0" applyFont="1" applyFill="1" applyBorder="1" applyAlignment="1">
      <alignment horizontal="left"/>
    </xf>
    <xf numFmtId="3" fontId="12" fillId="3" borderId="14" xfId="0" applyNumberFormat="1" applyFont="1" applyFill="1" applyBorder="1"/>
    <xf numFmtId="3" fontId="12" fillId="3" borderId="0" xfId="0" applyNumberFormat="1" applyFont="1" applyFill="1" applyBorder="1"/>
    <xf numFmtId="3" fontId="12" fillId="3" borderId="7" xfId="0" applyNumberFormat="1" applyFont="1" applyFill="1" applyBorder="1"/>
    <xf numFmtId="3" fontId="9" fillId="0" borderId="2" xfId="0" applyNumberFormat="1" applyFont="1" applyBorder="1"/>
    <xf numFmtId="3" fontId="9" fillId="0" borderId="8" xfId="0" applyNumberFormat="1" applyFont="1" applyBorder="1"/>
    <xf numFmtId="0" fontId="12" fillId="3" borderId="3" xfId="0" applyFont="1" applyFill="1" applyBorder="1"/>
    <xf numFmtId="3" fontId="12" fillId="3" borderId="1" xfId="0" applyNumberFormat="1" applyFont="1" applyFill="1" applyBorder="1"/>
    <xf numFmtId="0" fontId="13" fillId="3" borderId="4" xfId="0" applyFont="1" applyFill="1" applyBorder="1"/>
    <xf numFmtId="165" fontId="13" fillId="3" borderId="0" xfId="4" applyNumberFormat="1" applyFont="1" applyFill="1" applyBorder="1"/>
    <xf numFmtId="165" fontId="13" fillId="3" borderId="7" xfId="4" applyNumberFormat="1" applyFont="1" applyFill="1" applyBorder="1"/>
    <xf numFmtId="0" fontId="13" fillId="0" borderId="0" xfId="0" applyFont="1"/>
    <xf numFmtId="3" fontId="12" fillId="3" borderId="6" xfId="0" applyNumberFormat="1" applyFont="1" applyFill="1" applyBorder="1"/>
    <xf numFmtId="3" fontId="9" fillId="0" borderId="0" xfId="0" applyNumberFormat="1" applyFont="1" applyFill="1" applyBorder="1"/>
    <xf numFmtId="3" fontId="9" fillId="0" borderId="7" xfId="0" applyNumberFormat="1" applyFont="1" applyFill="1" applyBorder="1"/>
    <xf numFmtId="3" fontId="9" fillId="0" borderId="0" xfId="0" applyNumberFormat="1" applyFont="1"/>
    <xf numFmtId="0" fontId="9" fillId="0" borderId="0" xfId="0" applyFont="1" applyBorder="1"/>
    <xf numFmtId="0" fontId="12" fillId="3" borderId="11" xfId="0" applyFont="1" applyFill="1" applyBorder="1"/>
    <xf numFmtId="3" fontId="12" fillId="3" borderId="9" xfId="0" applyNumberFormat="1" applyFont="1" applyFill="1" applyBorder="1"/>
    <xf numFmtId="3" fontId="12" fillId="3" borderId="10" xfId="0" applyNumberFormat="1" applyFont="1" applyFill="1" applyBorder="1"/>
    <xf numFmtId="3" fontId="9" fillId="0" borderId="15" xfId="0" applyNumberFormat="1" applyFont="1" applyBorder="1"/>
    <xf numFmtId="3" fontId="9" fillId="0" borderId="16" xfId="0" applyNumberFormat="1" applyFont="1" applyBorder="1"/>
    <xf numFmtId="0" fontId="9" fillId="0" borderId="4" xfId="0" applyFont="1" applyBorder="1" applyAlignment="1">
      <alignment horizontal="left" indent="1"/>
    </xf>
    <xf numFmtId="0" fontId="9" fillId="0" borderId="4" xfId="0" quotePrefix="1" applyFont="1" applyBorder="1" applyAlignment="1">
      <alignment horizontal="left" indent="1"/>
    </xf>
    <xf numFmtId="3" fontId="9" fillId="0" borderId="17" xfId="0" applyNumberFormat="1" applyFont="1" applyBorder="1"/>
    <xf numFmtId="3" fontId="9" fillId="0" borderId="18" xfId="0" applyNumberFormat="1" applyFont="1" applyBorder="1"/>
    <xf numFmtId="3" fontId="12" fillId="3" borderId="19" xfId="0" applyNumberFormat="1" applyFont="1" applyFill="1" applyBorder="1"/>
    <xf numFmtId="0" fontId="6" fillId="3" borderId="5" xfId="0" applyFont="1" applyFill="1" applyBorder="1"/>
    <xf numFmtId="3" fontId="6" fillId="3" borderId="2" xfId="0" applyNumberFormat="1" applyFont="1" applyFill="1" applyBorder="1"/>
    <xf numFmtId="3" fontId="6" fillId="3" borderId="8" xfId="0" applyNumberFormat="1" applyFont="1" applyFill="1" applyBorder="1"/>
    <xf numFmtId="166" fontId="9" fillId="0" borderId="0" xfId="0" applyNumberFormat="1" applyFont="1" applyBorder="1"/>
    <xf numFmtId="166" fontId="9" fillId="0" borderId="7" xfId="0" applyNumberFormat="1" applyFont="1" applyBorder="1"/>
    <xf numFmtId="166" fontId="9" fillId="0" borderId="0" xfId="0" quotePrefix="1" applyNumberFormat="1" applyFont="1" applyBorder="1" applyAlignment="1">
      <alignment horizontal="right"/>
    </xf>
    <xf numFmtId="166" fontId="12" fillId="3" borderId="0" xfId="0" applyNumberFormat="1" applyFont="1" applyFill="1" applyBorder="1"/>
    <xf numFmtId="166" fontId="12" fillId="3" borderId="7" xfId="0" applyNumberFormat="1" applyFont="1" applyFill="1" applyBorder="1"/>
    <xf numFmtId="166" fontId="12" fillId="3" borderId="1" xfId="0" applyNumberFormat="1" applyFont="1" applyFill="1" applyBorder="1"/>
    <xf numFmtId="166" fontId="12" fillId="3" borderId="6" xfId="0" applyNumberFormat="1" applyFont="1" applyFill="1" applyBorder="1"/>
    <xf numFmtId="0" fontId="9" fillId="0" borderId="4" xfId="0" applyFont="1" applyFill="1" applyBorder="1"/>
    <xf numFmtId="0" fontId="12" fillId="3" borderId="5" xfId="0" applyFont="1" applyFill="1" applyBorder="1"/>
    <xf numFmtId="166" fontId="12" fillId="3" borderId="2" xfId="0" applyNumberFormat="1" applyFont="1" applyFill="1" applyBorder="1"/>
    <xf numFmtId="166" fontId="12" fillId="3" borderId="8" xfId="0" applyNumberFormat="1" applyFont="1" applyFill="1" applyBorder="1"/>
    <xf numFmtId="166" fontId="9" fillId="0" borderId="8" xfId="0" applyNumberFormat="1" applyFont="1" applyBorder="1"/>
    <xf numFmtId="0" fontId="12" fillId="3" borderId="11" xfId="0" applyFont="1" applyFill="1" applyBorder="1" applyAlignment="1">
      <alignment horizontal="left"/>
    </xf>
    <xf numFmtId="166" fontId="12" fillId="3" borderId="9" xfId="0" applyNumberFormat="1" applyFont="1" applyFill="1" applyBorder="1"/>
    <xf numFmtId="166" fontId="12" fillId="3" borderId="10" xfId="0" applyNumberFormat="1" applyFont="1" applyFill="1" applyBorder="1"/>
    <xf numFmtId="166" fontId="9" fillId="0" borderId="0" xfId="0" quotePrefix="1" applyNumberFormat="1" applyFont="1" applyBorder="1" applyAlignment="1">
      <alignment horizontal="right" vertical="center"/>
    </xf>
    <xf numFmtId="0" fontId="12" fillId="3" borderId="4" xfId="0" applyFont="1" applyFill="1" applyBorder="1"/>
    <xf numFmtId="0" fontId="9" fillId="0" borderId="5" xfId="0" applyFont="1" applyBorder="1"/>
    <xf numFmtId="0" fontId="9" fillId="3" borderId="3" xfId="0" applyFont="1" applyFill="1" applyBorder="1"/>
    <xf numFmtId="0" fontId="9" fillId="3" borderId="1" xfId="0" applyFont="1" applyFill="1" applyBorder="1"/>
    <xf numFmtId="0" fontId="9" fillId="3" borderId="6" xfId="0" applyFont="1" applyFill="1" applyBorder="1"/>
    <xf numFmtId="0" fontId="9" fillId="3" borderId="4" xfId="0" applyFont="1" applyFill="1" applyBorder="1"/>
    <xf numFmtId="0" fontId="9" fillId="3" borderId="0" xfId="0" applyFont="1" applyFill="1" applyBorder="1"/>
    <xf numFmtId="0" fontId="9" fillId="3" borderId="7" xfId="0" applyFont="1" applyFill="1" applyBorder="1"/>
    <xf numFmtId="0" fontId="9" fillId="3" borderId="5" xfId="0" applyFont="1" applyFill="1" applyBorder="1"/>
    <xf numFmtId="0" fontId="9" fillId="3" borderId="2" xfId="0" applyFont="1" applyFill="1" applyBorder="1"/>
    <xf numFmtId="0" fontId="9" fillId="3" borderId="8" xfId="0" applyFont="1" applyFill="1" applyBorder="1"/>
    <xf numFmtId="0" fontId="13" fillId="3" borderId="5" xfId="0" applyFont="1" applyFill="1" applyBorder="1"/>
    <xf numFmtId="165" fontId="13" fillId="3" borderId="2" xfId="4" applyNumberFormat="1" applyFont="1" applyFill="1" applyBorder="1"/>
    <xf numFmtId="165" fontId="13" fillId="3" borderId="8" xfId="4" applyNumberFormat="1" applyFont="1" applyFill="1" applyBorder="1"/>
    <xf numFmtId="0" fontId="9" fillId="0" borderId="2" xfId="0" applyFont="1" applyBorder="1"/>
    <xf numFmtId="167" fontId="9" fillId="0" borderId="2" xfId="4" applyNumberFormat="1" applyFont="1" applyBorder="1"/>
    <xf numFmtId="167" fontId="9" fillId="0" borderId="8" xfId="4" applyNumberFormat="1" applyFont="1" applyBorder="1"/>
    <xf numFmtId="3" fontId="12" fillId="0" borderId="0" xfId="0" applyNumberFormat="1" applyFont="1" applyBorder="1"/>
    <xf numFmtId="3" fontId="12" fillId="3" borderId="20" xfId="0" applyNumberFormat="1" applyFont="1" applyFill="1" applyBorder="1"/>
    <xf numFmtId="166" fontId="9" fillId="0" borderId="2" xfId="0" applyNumberFormat="1" applyFont="1" applyBorder="1"/>
    <xf numFmtId="49" fontId="11" fillId="2" borderId="1" xfId="0" applyNumberFormat="1" applyFont="1" applyFill="1" applyBorder="1" applyAlignment="1">
      <alignment horizontal="right"/>
    </xf>
    <xf numFmtId="0" fontId="12" fillId="0" borderId="4" xfId="0" applyFont="1" applyBorder="1" applyAlignment="1">
      <alignment horizontal="left"/>
    </xf>
    <xf numFmtId="0" fontId="14" fillId="0" borderId="0" xfId="0" applyFont="1"/>
    <xf numFmtId="3" fontId="15" fillId="0" borderId="0" xfId="0" applyNumberFormat="1" applyFont="1"/>
    <xf numFmtId="3" fontId="15" fillId="0" borderId="0" xfId="0" applyNumberFormat="1" applyFont="1" applyBorder="1"/>
    <xf numFmtId="49" fontId="11" fillId="2" borderId="6" xfId="0" applyNumberFormat="1" applyFont="1" applyFill="1" applyBorder="1" applyAlignment="1">
      <alignment horizontal="right"/>
    </xf>
    <xf numFmtId="3" fontId="12" fillId="0" borderId="7" xfId="0" applyNumberFormat="1" applyFont="1" applyBorder="1"/>
    <xf numFmtId="166" fontId="9" fillId="0" borderId="7" xfId="0" applyNumberFormat="1" applyFont="1" applyBorder="1" applyAlignment="1">
      <alignment horizontal="right"/>
    </xf>
    <xf numFmtId="168" fontId="9" fillId="0" borderId="0" xfId="0" applyNumberFormat="1" applyFont="1" applyBorder="1"/>
    <xf numFmtId="168" fontId="9" fillId="0" borderId="7" xfId="0" applyNumberFormat="1" applyFont="1" applyBorder="1"/>
    <xf numFmtId="0" fontId="9" fillId="0" borderId="7" xfId="0" applyFont="1" applyBorder="1"/>
    <xf numFmtId="3" fontId="12" fillId="0" borderId="21" xfId="0" applyNumberFormat="1" applyFont="1" applyBorder="1"/>
    <xf numFmtId="166" fontId="9" fillId="0" borderId="0" xfId="0" applyNumberFormat="1" applyFont="1" applyBorder="1" applyAlignment="1">
      <alignment horizontal="right"/>
    </xf>
    <xf numFmtId="0" fontId="18" fillId="0" borderId="0" xfId="0" applyFont="1"/>
  </cellXfs>
  <cellStyles count="8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6" xr:uid="{C1A8DE46-4BDE-2640-9FE9-671B5F909151}"/>
    <cellStyle name="Normal 6" xfId="7" xr:uid="{35FC66F5-0C01-4EFA-8113-4AE04463EEBC}"/>
    <cellStyle name="Pourcentage" xfId="4" builtinId="5"/>
    <cellStyle name="Pourcentage 2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mzahaji/Desktop/Hamza%2020.08.2019/WARA/2019/CBI%20CI/production%20analytique/post%20revue%20boss/B12-CBI%20CI%20Spreads%20au%2031-12-2018%20-%20H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I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Q163"/>
  <sheetViews>
    <sheetView showGridLines="0" tabSelected="1" zoomScale="90" zoomScaleNormal="90" workbookViewId="0">
      <selection activeCell="B78" sqref="B78"/>
    </sheetView>
  </sheetViews>
  <sheetFormatPr baseColWidth="10" defaultColWidth="11.42578125" defaultRowHeight="15.75" x14ac:dyDescent="0.25"/>
  <cols>
    <col min="1" max="1" width="2.42578125" style="1" customWidth="1"/>
    <col min="2" max="2" width="64.28515625" style="1" customWidth="1"/>
    <col min="3" max="4" width="12.7109375" style="1" hidden="1" customWidth="1"/>
    <col min="5" max="6" width="12.140625" style="1" customWidth="1"/>
    <col min="7" max="7" width="12.7109375" style="1" bestFit="1" customWidth="1"/>
    <col min="8" max="8" width="12.7109375" style="1" customWidth="1"/>
    <col min="9" max="9" width="11.42578125" style="27"/>
    <col min="10" max="16384" width="11.42578125" style="1"/>
  </cols>
  <sheetData>
    <row r="1" spans="2:11" ht="18.75" x14ac:dyDescent="0.3">
      <c r="B1" s="90" t="s">
        <v>94</v>
      </c>
    </row>
    <row r="3" spans="2:11" s="4" customFormat="1" x14ac:dyDescent="0.25">
      <c r="B3" s="2" t="s">
        <v>95</v>
      </c>
      <c r="C3" s="3">
        <v>41639</v>
      </c>
      <c r="D3" s="77">
        <v>2014</v>
      </c>
      <c r="E3" s="77">
        <v>2015</v>
      </c>
      <c r="F3" s="77">
        <v>2016</v>
      </c>
      <c r="G3" s="77">
        <v>2017</v>
      </c>
      <c r="H3" s="77">
        <v>2018</v>
      </c>
      <c r="I3" s="77" t="s">
        <v>86</v>
      </c>
      <c r="J3" s="77" t="s">
        <v>87</v>
      </c>
      <c r="K3" s="82" t="s">
        <v>93</v>
      </c>
    </row>
    <row r="4" spans="2:11" x14ac:dyDescent="0.25">
      <c r="B4" s="5"/>
      <c r="C4" s="6"/>
      <c r="D4" s="6"/>
      <c r="E4" s="6"/>
      <c r="F4" s="6"/>
      <c r="G4" s="6"/>
      <c r="H4" s="6"/>
      <c r="I4" s="6"/>
      <c r="J4" s="6"/>
      <c r="K4" s="87"/>
    </row>
    <row r="5" spans="2:11" x14ac:dyDescent="0.25">
      <c r="B5" s="8" t="s">
        <v>31</v>
      </c>
      <c r="C5" s="6" t="e">
        <f>(#REF!)</f>
        <v>#REF!</v>
      </c>
      <c r="D5" s="6" t="e">
        <f>(#REF!)</f>
        <v>#REF!</v>
      </c>
      <c r="E5" s="6">
        <v>863291</v>
      </c>
      <c r="F5" s="6">
        <v>905036</v>
      </c>
      <c r="G5" s="6">
        <v>972905</v>
      </c>
      <c r="H5" s="6">
        <v>1021956</v>
      </c>
      <c r="I5" s="6">
        <v>1098698</v>
      </c>
      <c r="J5" s="6">
        <v>1179224</v>
      </c>
      <c r="K5" s="7">
        <v>1206086</v>
      </c>
    </row>
    <row r="6" spans="2:11" x14ac:dyDescent="0.25">
      <c r="B6" s="8" t="s">
        <v>18</v>
      </c>
      <c r="C6" s="6" t="e">
        <f>(#REF!)</f>
        <v>#REF!</v>
      </c>
      <c r="D6" s="6" t="e">
        <f>(#REF!)</f>
        <v>#REF!</v>
      </c>
      <c r="E6" s="6">
        <v>3426</v>
      </c>
      <c r="F6" s="6">
        <v>3877</v>
      </c>
      <c r="G6" s="6">
        <v>4687</v>
      </c>
      <c r="H6" s="6">
        <v>2040</v>
      </c>
      <c r="I6" s="6">
        <v>0</v>
      </c>
      <c r="J6" s="6">
        <v>0</v>
      </c>
      <c r="K6" s="7">
        <v>0</v>
      </c>
    </row>
    <row r="7" spans="2:11" x14ac:dyDescent="0.25">
      <c r="B7" s="8" t="s">
        <v>19</v>
      </c>
      <c r="C7" s="6" t="e">
        <f>(#REF!)</f>
        <v>#REF!</v>
      </c>
      <c r="D7" s="9" t="e">
        <f>(#REF!)</f>
        <v>#REF!</v>
      </c>
      <c r="E7" s="9">
        <v>23926</v>
      </c>
      <c r="F7" s="9">
        <v>28582</v>
      </c>
      <c r="G7" s="9">
        <v>16800</v>
      </c>
      <c r="H7" s="9">
        <v>37175</v>
      </c>
      <c r="I7" s="9">
        <v>20825</v>
      </c>
      <c r="J7" s="9">
        <v>19401</v>
      </c>
      <c r="K7" s="10">
        <v>21892</v>
      </c>
    </row>
    <row r="8" spans="2:11" s="4" customFormat="1" x14ac:dyDescent="0.25">
      <c r="B8" s="11" t="s">
        <v>27</v>
      </c>
      <c r="C8" s="12" t="e">
        <f t="shared" ref="C8:D8" si="0">SUM(C5:C7)</f>
        <v>#REF!</v>
      </c>
      <c r="D8" s="13" t="e">
        <f t="shared" si="0"/>
        <v>#REF!</v>
      </c>
      <c r="E8" s="13">
        <v>890643</v>
      </c>
      <c r="F8" s="13">
        <v>937495</v>
      </c>
      <c r="G8" s="13">
        <v>994392</v>
      </c>
      <c r="H8" s="13">
        <v>1061171</v>
      </c>
      <c r="I8" s="13">
        <v>1119523</v>
      </c>
      <c r="J8" s="13">
        <v>1198625</v>
      </c>
      <c r="K8" s="14">
        <v>1227978</v>
      </c>
    </row>
    <row r="9" spans="2:11" x14ac:dyDescent="0.25">
      <c r="B9" s="5"/>
      <c r="C9" s="6"/>
      <c r="D9" s="6"/>
      <c r="E9" s="6"/>
      <c r="F9" s="6"/>
      <c r="G9" s="6"/>
      <c r="H9" s="6"/>
      <c r="I9" s="6"/>
      <c r="J9" s="6"/>
      <c r="K9" s="7"/>
    </row>
    <row r="10" spans="2:11" x14ac:dyDescent="0.25">
      <c r="B10" s="5" t="s">
        <v>11</v>
      </c>
      <c r="C10" s="6" t="e">
        <f>(-(#REF!+#REF!))</f>
        <v>#REF!</v>
      </c>
      <c r="D10" s="6" t="e">
        <f>(-(#REF!+#REF!))</f>
        <v>#REF!</v>
      </c>
      <c r="E10" s="6">
        <v>-52334</v>
      </c>
      <c r="F10" s="6">
        <v>-53420</v>
      </c>
      <c r="G10" s="6">
        <v>-61237</v>
      </c>
      <c r="H10" s="6">
        <v>-61094</v>
      </c>
      <c r="I10" s="6">
        <v>-75412</v>
      </c>
      <c r="J10" s="6">
        <v>-64610</v>
      </c>
      <c r="K10" s="7">
        <v>-62938</v>
      </c>
    </row>
    <row r="11" spans="2:11" x14ac:dyDescent="0.25">
      <c r="B11" s="5" t="s">
        <v>12</v>
      </c>
      <c r="C11" s="6" t="e">
        <f>(-(#REF!))</f>
        <v>#REF!</v>
      </c>
      <c r="D11" s="6" t="e">
        <f>(-(#REF!))</f>
        <v>#REF!</v>
      </c>
      <c r="E11" s="6">
        <v>0</v>
      </c>
      <c r="F11" s="6">
        <v>-2081</v>
      </c>
      <c r="G11" s="6">
        <v>-2114</v>
      </c>
      <c r="H11" s="6">
        <v>-2245</v>
      </c>
      <c r="I11" s="6">
        <v>0</v>
      </c>
      <c r="J11" s="6">
        <v>0</v>
      </c>
      <c r="K11" s="7">
        <v>0</v>
      </c>
    </row>
    <row r="12" spans="2:11" x14ac:dyDescent="0.25">
      <c r="B12" s="5" t="s">
        <v>13</v>
      </c>
      <c r="C12" s="6" t="e">
        <f>(-(#REF!))</f>
        <v>#REF!</v>
      </c>
      <c r="D12" s="6" t="e">
        <f>(-(#REF!))</f>
        <v>#REF!</v>
      </c>
      <c r="E12" s="6">
        <v>-308334</v>
      </c>
      <c r="F12" s="6">
        <v>-299915</v>
      </c>
      <c r="G12" s="6">
        <v>-332967</v>
      </c>
      <c r="H12" s="6">
        <v>-345745</v>
      </c>
      <c r="I12" s="6">
        <v>-325454</v>
      </c>
      <c r="J12" s="6">
        <v>-354595</v>
      </c>
      <c r="K12" s="7">
        <v>-367516</v>
      </c>
    </row>
    <row r="13" spans="2:11" x14ac:dyDescent="0.25">
      <c r="B13" s="5" t="s">
        <v>15</v>
      </c>
      <c r="C13" s="6" t="e">
        <f>(-(#REF!))</f>
        <v>#REF!</v>
      </c>
      <c r="D13" s="15" t="e">
        <f>(-(#REF!))</f>
        <v>#REF!</v>
      </c>
      <c r="E13" s="15">
        <v>0</v>
      </c>
      <c r="F13" s="15">
        <v>-17473</v>
      </c>
      <c r="G13" s="15">
        <v>-16041</v>
      </c>
      <c r="H13" s="15">
        <v>-25099</v>
      </c>
      <c r="I13" s="15">
        <v>-73186</v>
      </c>
      <c r="J13" s="15">
        <v>-54390</v>
      </c>
      <c r="K13" s="16">
        <v>-50465</v>
      </c>
    </row>
    <row r="14" spans="2:11" s="4" customFormat="1" x14ac:dyDescent="0.25">
      <c r="B14" s="17" t="s">
        <v>26</v>
      </c>
      <c r="C14" s="18" t="e">
        <f t="shared" ref="C14:D14" si="1">SUM(C8:C13)</f>
        <v>#REF!</v>
      </c>
      <c r="D14" s="13" t="e">
        <f t="shared" si="1"/>
        <v>#REF!</v>
      </c>
      <c r="E14" s="13">
        <v>529975</v>
      </c>
      <c r="F14" s="13">
        <v>564606</v>
      </c>
      <c r="G14" s="13">
        <v>582033</v>
      </c>
      <c r="H14" s="13">
        <v>626988</v>
      </c>
      <c r="I14" s="13">
        <v>645471</v>
      </c>
      <c r="J14" s="13">
        <v>725030</v>
      </c>
      <c r="K14" s="14">
        <v>747059</v>
      </c>
    </row>
    <row r="15" spans="2:11" s="22" customFormat="1" x14ac:dyDescent="0.25">
      <c r="B15" s="19" t="s">
        <v>25</v>
      </c>
      <c r="C15" s="20" t="e">
        <f t="shared" ref="C15:D15" si="2">C14/C5</f>
        <v>#REF!</v>
      </c>
      <c r="D15" s="20" t="e">
        <f t="shared" si="2"/>
        <v>#REF!</v>
      </c>
      <c r="E15" s="20">
        <v>0.61390075884029838</v>
      </c>
      <c r="F15" s="20">
        <v>0.62384921704771967</v>
      </c>
      <c r="G15" s="20">
        <v>0.59824237721051898</v>
      </c>
      <c r="H15" s="20">
        <v>0.61351760741166939</v>
      </c>
      <c r="I15" s="20">
        <v>0.58748718938234168</v>
      </c>
      <c r="J15" s="20">
        <v>0.61483653656981196</v>
      </c>
      <c r="K15" s="21">
        <v>0.61940773709337482</v>
      </c>
    </row>
    <row r="16" spans="2:11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</row>
    <row r="17" spans="2:11" x14ac:dyDescent="0.25">
      <c r="B17" s="5" t="s">
        <v>14</v>
      </c>
      <c r="C17" s="6" t="e">
        <f>(-#REF!)</f>
        <v>#REF!</v>
      </c>
      <c r="D17" s="6" t="e">
        <f>(-#REF!)</f>
        <v>#REF!</v>
      </c>
      <c r="E17" s="6">
        <v>0</v>
      </c>
      <c r="F17" s="6">
        <v>-38382</v>
      </c>
      <c r="G17" s="6">
        <v>-39746</v>
      </c>
      <c r="H17" s="6">
        <v>-46093</v>
      </c>
      <c r="I17" s="6">
        <v>-81302</v>
      </c>
      <c r="J17" s="6">
        <v>-116852</v>
      </c>
      <c r="K17" s="7">
        <v>-100392</v>
      </c>
    </row>
    <row r="18" spans="2:11" x14ac:dyDescent="0.25">
      <c r="B18" s="5" t="s">
        <v>17</v>
      </c>
      <c r="C18" s="6" t="e">
        <f>(-#REF!)</f>
        <v>#REF!</v>
      </c>
      <c r="D18" s="15" t="e">
        <f>(-#REF!)</f>
        <v>#REF!</v>
      </c>
      <c r="E18" s="15">
        <v>-74119</v>
      </c>
      <c r="F18" s="15">
        <v>-83449</v>
      </c>
      <c r="G18" s="15">
        <v>-93625</v>
      </c>
      <c r="H18" s="15">
        <v>-108417</v>
      </c>
      <c r="I18" s="15">
        <v>-107380</v>
      </c>
      <c r="J18" s="15">
        <v>-116438</v>
      </c>
      <c r="K18" s="16">
        <v>-121111</v>
      </c>
    </row>
    <row r="19" spans="2:11" s="4" customFormat="1" x14ac:dyDescent="0.25">
      <c r="B19" s="17" t="s">
        <v>28</v>
      </c>
      <c r="C19" s="18" t="e">
        <f t="shared" ref="C19:D19" si="3">C14+C17+C18</f>
        <v>#REF!</v>
      </c>
      <c r="D19" s="13" t="e">
        <f t="shared" si="3"/>
        <v>#REF!</v>
      </c>
      <c r="E19" s="13">
        <v>455856</v>
      </c>
      <c r="F19" s="13">
        <v>442775</v>
      </c>
      <c r="G19" s="13">
        <v>448662</v>
      </c>
      <c r="H19" s="13">
        <v>472478</v>
      </c>
      <c r="I19" s="13">
        <v>456789</v>
      </c>
      <c r="J19" s="13">
        <v>491740</v>
      </c>
      <c r="K19" s="14">
        <v>525556</v>
      </c>
    </row>
    <row r="20" spans="2:11" s="22" customFormat="1" x14ac:dyDescent="0.25">
      <c r="B20" s="19" t="s">
        <v>25</v>
      </c>
      <c r="C20" s="20" t="e">
        <f t="shared" ref="C20:D20" si="4">C19/C5</f>
        <v>#REF!</v>
      </c>
      <c r="D20" s="20" t="e">
        <f t="shared" si="4"/>
        <v>#REF!</v>
      </c>
      <c r="E20" s="20">
        <v>0.52804442534440876</v>
      </c>
      <c r="F20" s="20">
        <v>0.48923468237727558</v>
      </c>
      <c r="G20" s="20">
        <v>0.46115705027726245</v>
      </c>
      <c r="H20" s="20">
        <v>0.46232714519998902</v>
      </c>
      <c r="I20" s="20">
        <v>0.41575482980764505</v>
      </c>
      <c r="J20" s="20">
        <v>0.41700304607097549</v>
      </c>
      <c r="K20" s="21">
        <v>0.43575333765585539</v>
      </c>
    </row>
    <row r="21" spans="2:11" x14ac:dyDescent="0.25">
      <c r="B21" s="5"/>
      <c r="C21" s="6"/>
      <c r="D21" s="6"/>
      <c r="E21" s="6"/>
      <c r="F21" s="6"/>
      <c r="G21" s="6"/>
      <c r="H21" s="6"/>
      <c r="I21" s="6"/>
      <c r="J21" s="6"/>
      <c r="K21" s="7"/>
    </row>
    <row r="22" spans="2:11" x14ac:dyDescent="0.25">
      <c r="B22" s="5" t="s">
        <v>16</v>
      </c>
      <c r="C22" s="6" t="e">
        <f>(-#REF!)</f>
        <v>#REF!</v>
      </c>
      <c r="D22" s="6" t="e">
        <f>(-#REF!)</f>
        <v>#REF!</v>
      </c>
      <c r="E22" s="6">
        <v>-138736</v>
      </c>
      <c r="F22" s="6">
        <v>-131426</v>
      </c>
      <c r="G22" s="6">
        <v>-160593</v>
      </c>
      <c r="H22" s="6">
        <v>-168955</v>
      </c>
      <c r="I22" s="6">
        <v>-153008</v>
      </c>
      <c r="J22" s="6">
        <v>-173284</v>
      </c>
      <c r="K22" s="7">
        <v>-185993</v>
      </c>
    </row>
    <row r="23" spans="2:11" x14ac:dyDescent="0.25">
      <c r="B23" s="5" t="s">
        <v>20</v>
      </c>
      <c r="C23" s="6" t="e">
        <f>(#REF!)</f>
        <v>#REF!</v>
      </c>
      <c r="D23" s="6" t="e">
        <f>(#REF!)</f>
        <v>#REF!</v>
      </c>
      <c r="E23" s="6">
        <v>10670</v>
      </c>
      <c r="F23" s="6">
        <v>11809</v>
      </c>
      <c r="G23" s="6">
        <v>19718</v>
      </c>
      <c r="H23" s="6">
        <v>8764</v>
      </c>
      <c r="I23" s="6">
        <v>0</v>
      </c>
      <c r="J23" s="6">
        <v>0</v>
      </c>
      <c r="K23" s="7">
        <v>0</v>
      </c>
    </row>
    <row r="24" spans="2:11" s="4" customFormat="1" x14ac:dyDescent="0.25">
      <c r="B24" s="17" t="s">
        <v>21</v>
      </c>
      <c r="C24" s="18" t="e">
        <f t="shared" ref="C24:D24" si="5">C19+C22+C23</f>
        <v>#REF!</v>
      </c>
      <c r="D24" s="18" t="e">
        <f t="shared" si="5"/>
        <v>#REF!</v>
      </c>
      <c r="E24" s="18">
        <v>327790</v>
      </c>
      <c r="F24" s="18">
        <v>323158</v>
      </c>
      <c r="G24" s="18">
        <v>307787</v>
      </c>
      <c r="H24" s="18">
        <v>312287</v>
      </c>
      <c r="I24" s="18">
        <v>303781</v>
      </c>
      <c r="J24" s="18">
        <v>318456</v>
      </c>
      <c r="K24" s="23">
        <v>339563</v>
      </c>
    </row>
    <row r="25" spans="2:11" s="22" customFormat="1" x14ac:dyDescent="0.25">
      <c r="B25" s="19" t="s">
        <v>25</v>
      </c>
      <c r="C25" s="20" t="e">
        <f t="shared" ref="C25:D25" si="6">C24/C5</f>
        <v>#REF!</v>
      </c>
      <c r="D25" s="20" t="e">
        <f t="shared" si="6"/>
        <v>#REF!</v>
      </c>
      <c r="E25" s="20">
        <v>0.37969815508328014</v>
      </c>
      <c r="F25" s="20">
        <v>0.35706645923477076</v>
      </c>
      <c r="G25" s="20">
        <v>0.31635874006197934</v>
      </c>
      <c r="H25" s="20">
        <v>0.30557773524496162</v>
      </c>
      <c r="I25" s="20">
        <v>0.27649181121654903</v>
      </c>
      <c r="J25" s="20">
        <v>0.2700555619627823</v>
      </c>
      <c r="K25" s="21">
        <v>0.28154128312574728</v>
      </c>
    </row>
    <row r="26" spans="2:11" x14ac:dyDescent="0.25">
      <c r="B26" s="5"/>
      <c r="C26" s="6"/>
      <c r="D26" s="6"/>
      <c r="E26" s="6"/>
      <c r="F26" s="6"/>
      <c r="G26" s="6"/>
      <c r="H26" s="6"/>
      <c r="I26" s="6"/>
      <c r="J26" s="6"/>
      <c r="K26" s="7"/>
    </row>
    <row r="27" spans="2:11" x14ac:dyDescent="0.25">
      <c r="B27" s="5" t="s">
        <v>29</v>
      </c>
      <c r="C27" s="6" t="e">
        <f>(#REF!-#REF!)</f>
        <v>#REF!</v>
      </c>
      <c r="D27" s="6" t="e">
        <f>(#REF!-#REF!)</f>
        <v>#REF!</v>
      </c>
      <c r="E27" s="6">
        <v>3012</v>
      </c>
      <c r="F27" s="6">
        <v>-10426</v>
      </c>
      <c r="G27" s="6">
        <v>-8658</v>
      </c>
      <c r="H27" s="6">
        <v>-13517</v>
      </c>
      <c r="I27" s="6">
        <v>-13328</v>
      </c>
      <c r="J27" s="6">
        <v>-25977</v>
      </c>
      <c r="K27" s="7">
        <v>-29460</v>
      </c>
    </row>
    <row r="28" spans="2:11" x14ac:dyDescent="0.25">
      <c r="B28" s="5" t="s">
        <v>32</v>
      </c>
      <c r="C28" s="6" t="e">
        <f>(#REF!-#REF!)</f>
        <v>#REF!</v>
      </c>
      <c r="D28" s="6" t="e">
        <f>(#REF!-#REF!)</f>
        <v>#REF!</v>
      </c>
      <c r="E28" s="6">
        <v>-1812</v>
      </c>
      <c r="F28" s="6">
        <v>3647</v>
      </c>
      <c r="G28" s="6">
        <v>-1662</v>
      </c>
      <c r="H28" s="6">
        <v>-3426</v>
      </c>
      <c r="I28" s="6">
        <v>3828.8</v>
      </c>
      <c r="J28" s="6">
        <v>2166</v>
      </c>
      <c r="K28" s="7">
        <v>-481</v>
      </c>
    </row>
    <row r="29" spans="2:11" x14ac:dyDescent="0.25">
      <c r="B29" s="5" t="s">
        <v>67</v>
      </c>
      <c r="C29" s="6" t="e">
        <f>#REF!</f>
        <v>#REF!</v>
      </c>
      <c r="D29" s="6" t="e">
        <f>#REF!</f>
        <v>#REF!</v>
      </c>
      <c r="E29" s="6">
        <v>2203</v>
      </c>
      <c r="F29" s="6">
        <v>1156</v>
      </c>
      <c r="G29" s="6">
        <v>-1659</v>
      </c>
      <c r="H29" s="6">
        <v>2474</v>
      </c>
      <c r="I29" s="6">
        <v>0</v>
      </c>
      <c r="J29" s="6">
        <v>0</v>
      </c>
      <c r="K29" s="7">
        <v>0</v>
      </c>
    </row>
    <row r="30" spans="2:11" x14ac:dyDescent="0.25">
      <c r="B30" s="5" t="s">
        <v>30</v>
      </c>
      <c r="C30" s="6" t="e">
        <f>(-#REF!)</f>
        <v>#REF!</v>
      </c>
      <c r="D30" s="15" t="e">
        <f>(-#REF!)</f>
        <v>#REF!</v>
      </c>
      <c r="E30" s="15">
        <v>-110105</v>
      </c>
      <c r="F30" s="15">
        <v>-101655</v>
      </c>
      <c r="G30" s="15">
        <v>-93622</v>
      </c>
      <c r="H30" s="15">
        <v>-95567</v>
      </c>
      <c r="I30" s="15">
        <v>-107191</v>
      </c>
      <c r="J30" s="15">
        <v>-99302</v>
      </c>
      <c r="K30" s="16">
        <v>-108350</v>
      </c>
    </row>
    <row r="31" spans="2:11" s="4" customFormat="1" x14ac:dyDescent="0.25">
      <c r="B31" s="17" t="s">
        <v>69</v>
      </c>
      <c r="C31" s="18" t="e">
        <f t="shared" ref="C31:D31" si="7">C24+C27+C28+C30+C29</f>
        <v>#REF!</v>
      </c>
      <c r="D31" s="18" t="e">
        <f t="shared" si="7"/>
        <v>#REF!</v>
      </c>
      <c r="E31" s="18">
        <v>221088</v>
      </c>
      <c r="F31" s="18">
        <v>215880</v>
      </c>
      <c r="G31" s="18">
        <v>202186</v>
      </c>
      <c r="H31" s="18">
        <v>202251</v>
      </c>
      <c r="I31" s="18">
        <v>187090.8</v>
      </c>
      <c r="J31" s="18">
        <v>195343</v>
      </c>
      <c r="K31" s="23">
        <v>201272</v>
      </c>
    </row>
    <row r="32" spans="2:11" s="4" customFormat="1" x14ac:dyDescent="0.25">
      <c r="B32" s="48" t="s">
        <v>68</v>
      </c>
      <c r="C32" s="24" t="e">
        <f>+#REF!</f>
        <v>#REF!</v>
      </c>
      <c r="D32" s="24" t="e">
        <f>+#REF!</f>
        <v>#REF!</v>
      </c>
      <c r="E32" s="24">
        <v>27829</v>
      </c>
      <c r="F32" s="24">
        <v>29549</v>
      </c>
      <c r="G32" s="24">
        <v>29732</v>
      </c>
      <c r="H32" s="24">
        <v>29784</v>
      </c>
      <c r="I32" s="24">
        <v>27257.4</v>
      </c>
      <c r="J32" s="24">
        <v>42003</v>
      </c>
      <c r="K32" s="25">
        <v>32684</v>
      </c>
    </row>
    <row r="33" spans="2:17" s="4" customFormat="1" x14ac:dyDescent="0.25">
      <c r="B33" s="57" t="s">
        <v>70</v>
      </c>
      <c r="C33" s="13" t="e">
        <f>+#REF!</f>
        <v>#REF!</v>
      </c>
      <c r="D33" s="13" t="e">
        <f>+#REF!</f>
        <v>#REF!</v>
      </c>
      <c r="E33" s="13">
        <v>193259</v>
      </c>
      <c r="F33" s="13">
        <v>186331</v>
      </c>
      <c r="G33" s="13">
        <v>172454</v>
      </c>
      <c r="H33" s="13">
        <v>172467</v>
      </c>
      <c r="I33" s="13">
        <v>159833.4</v>
      </c>
      <c r="J33" s="13">
        <v>153340</v>
      </c>
      <c r="K33" s="14">
        <v>168588</v>
      </c>
    </row>
    <row r="34" spans="2:17" s="22" customFormat="1" x14ac:dyDescent="0.25">
      <c r="B34" s="68" t="s">
        <v>25</v>
      </c>
      <c r="C34" s="69" t="e">
        <f t="shared" ref="C34:D34" si="8">C31/C5</f>
        <v>#REF!</v>
      </c>
      <c r="D34" s="69" t="e">
        <f t="shared" si="8"/>
        <v>#REF!</v>
      </c>
      <c r="E34" s="69">
        <v>0.25609904423884877</v>
      </c>
      <c r="F34" s="69">
        <v>0.23853194790041501</v>
      </c>
      <c r="G34" s="69">
        <v>0.20781679609006018</v>
      </c>
      <c r="H34" s="69">
        <v>0.19790578067940304</v>
      </c>
      <c r="I34" s="69">
        <v>0.17028409990734486</v>
      </c>
      <c r="J34" s="69">
        <v>0.16565385372075195</v>
      </c>
      <c r="K34" s="70">
        <v>0.16688030538452481</v>
      </c>
    </row>
    <row r="35" spans="2:17" x14ac:dyDescent="0.25">
      <c r="C35" s="26"/>
      <c r="D35" s="6"/>
      <c r="H35" s="27"/>
      <c r="J35" s="27"/>
    </row>
    <row r="36" spans="2:17" x14ac:dyDescent="0.25">
      <c r="C36" s="26"/>
      <c r="D36" s="6"/>
      <c r="H36" s="27"/>
      <c r="J36" s="27"/>
    </row>
    <row r="37" spans="2:17" s="4" customFormat="1" x14ac:dyDescent="0.25">
      <c r="B37" s="2" t="s">
        <v>38</v>
      </c>
      <c r="C37" s="3">
        <v>41639</v>
      </c>
      <c r="D37" s="77">
        <v>2014</v>
      </c>
      <c r="E37" s="77">
        <v>2015</v>
      </c>
      <c r="F37" s="77">
        <v>2016</v>
      </c>
      <c r="G37" s="77">
        <v>2017</v>
      </c>
      <c r="H37" s="77">
        <v>2018</v>
      </c>
      <c r="I37" s="77" t="s">
        <v>86</v>
      </c>
      <c r="J37" s="77" t="s">
        <v>87</v>
      </c>
      <c r="K37" s="82" t="s">
        <v>93</v>
      </c>
    </row>
    <row r="38" spans="2:17" x14ac:dyDescent="0.25">
      <c r="B38" s="5"/>
      <c r="C38" s="6"/>
      <c r="D38" s="6"/>
      <c r="E38" s="6"/>
      <c r="F38" s="6"/>
      <c r="G38" s="6"/>
      <c r="H38" s="6"/>
      <c r="I38" s="6"/>
      <c r="J38" s="6"/>
      <c r="K38" s="7"/>
    </row>
    <row r="39" spans="2:17" hidden="1" x14ac:dyDescent="0.25">
      <c r="B39" s="5" t="s">
        <v>66</v>
      </c>
      <c r="C39" s="6" t="e">
        <f>#REF!</f>
        <v>#REF!</v>
      </c>
      <c r="D39" s="6" t="e">
        <f>#REF!</f>
        <v>#REF!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7">
        <v>0</v>
      </c>
    </row>
    <row r="40" spans="2:17" x14ac:dyDescent="0.25">
      <c r="B40" s="8" t="s">
        <v>0</v>
      </c>
      <c r="C40" s="6" t="e">
        <f>(#REF!)</f>
        <v>#REF!</v>
      </c>
      <c r="D40" s="6" t="e">
        <f>(#REF!)</f>
        <v>#REF!</v>
      </c>
      <c r="E40" s="6">
        <v>31151</v>
      </c>
      <c r="F40" s="6">
        <v>78758</v>
      </c>
      <c r="G40" s="6">
        <v>298504</v>
      </c>
      <c r="H40" s="6">
        <v>287572</v>
      </c>
      <c r="I40" s="6">
        <v>282842</v>
      </c>
      <c r="J40" s="6">
        <v>316927</v>
      </c>
      <c r="K40" s="7">
        <v>283372</v>
      </c>
    </row>
    <row r="41" spans="2:17" x14ac:dyDescent="0.25">
      <c r="B41" s="8" t="s">
        <v>1</v>
      </c>
      <c r="C41" s="6" t="e">
        <f>(#REF!)</f>
        <v>#REF!</v>
      </c>
      <c r="D41" s="6" t="e">
        <f>(#REF!)</f>
        <v>#REF!</v>
      </c>
      <c r="E41" s="6">
        <v>565288</v>
      </c>
      <c r="F41" s="6">
        <v>595046</v>
      </c>
      <c r="G41" s="6">
        <v>652255</v>
      </c>
      <c r="H41" s="6">
        <v>706798</v>
      </c>
      <c r="I41" s="6">
        <v>699911</v>
      </c>
      <c r="J41" s="6">
        <v>749944</v>
      </c>
      <c r="K41" s="7">
        <v>778797</v>
      </c>
    </row>
    <row r="42" spans="2:17" x14ac:dyDescent="0.25">
      <c r="B42" s="5" t="s">
        <v>2</v>
      </c>
      <c r="C42" s="6" t="e">
        <f>(#REF!)</f>
        <v>#REF!</v>
      </c>
      <c r="D42" s="6" t="e">
        <f>(#REF!)</f>
        <v>#REF!</v>
      </c>
      <c r="E42" s="6">
        <v>141977</v>
      </c>
      <c r="F42" s="6">
        <v>255536</v>
      </c>
      <c r="G42" s="6">
        <v>155950</v>
      </c>
      <c r="H42" s="6">
        <v>163352</v>
      </c>
      <c r="I42" s="6">
        <v>181208.6</v>
      </c>
      <c r="J42" s="6">
        <v>209943.69999999998</v>
      </c>
      <c r="K42" s="7">
        <v>215345</v>
      </c>
    </row>
    <row r="43" spans="2:17" x14ac:dyDescent="0.25">
      <c r="B43" s="5" t="s">
        <v>3</v>
      </c>
      <c r="C43" s="6" t="e">
        <f>(#REF!)</f>
        <v>#REF!</v>
      </c>
      <c r="D43" s="6" t="e">
        <f>(#REF!)</f>
        <v>#REF!</v>
      </c>
      <c r="E43" s="6">
        <v>15645</v>
      </c>
      <c r="F43" s="6">
        <v>16143</v>
      </c>
      <c r="G43" s="6">
        <v>14237</v>
      </c>
      <c r="H43" s="6">
        <v>13157</v>
      </c>
      <c r="I43" s="6">
        <v>13043</v>
      </c>
      <c r="J43" s="6">
        <v>14247</v>
      </c>
      <c r="K43" s="7">
        <v>12302</v>
      </c>
      <c r="L43" s="26"/>
      <c r="M43" s="26"/>
      <c r="N43" s="26"/>
      <c r="O43" s="26"/>
      <c r="P43" s="26"/>
      <c r="Q43" s="26"/>
    </row>
    <row r="44" spans="2:17" x14ac:dyDescent="0.25">
      <c r="B44" s="5" t="s">
        <v>4</v>
      </c>
      <c r="C44" s="6" t="e">
        <f>(#REF!)</f>
        <v>#REF!</v>
      </c>
      <c r="D44" s="6" t="e">
        <f>(#REF!)</f>
        <v>#REF!</v>
      </c>
      <c r="E44" s="6">
        <v>192978</v>
      </c>
      <c r="F44" s="6">
        <v>197128</v>
      </c>
      <c r="G44" s="6">
        <v>243379</v>
      </c>
      <c r="H44" s="6">
        <v>285054</v>
      </c>
      <c r="I44" s="6">
        <v>280584</v>
      </c>
      <c r="J44" s="6">
        <v>327847</v>
      </c>
      <c r="K44" s="7">
        <v>407366</v>
      </c>
    </row>
    <row r="45" spans="2:17" x14ac:dyDescent="0.25">
      <c r="B45" s="5" t="s">
        <v>33</v>
      </c>
      <c r="C45" s="6" t="e">
        <f>(#REF!)</f>
        <v>#REF!</v>
      </c>
      <c r="D45" s="15" t="e">
        <f>(#REF!)</f>
        <v>#REF!</v>
      </c>
      <c r="E45" s="6">
        <v>266027</v>
      </c>
      <c r="F45" s="15">
        <v>248690</v>
      </c>
      <c r="G45" s="15">
        <v>231339</v>
      </c>
      <c r="H45" s="15">
        <v>317440</v>
      </c>
      <c r="I45" s="15">
        <v>218591</v>
      </c>
      <c r="J45" s="15">
        <v>204103</v>
      </c>
      <c r="K45" s="16">
        <v>199692</v>
      </c>
    </row>
    <row r="46" spans="2:17" s="4" customFormat="1" x14ac:dyDescent="0.25">
      <c r="B46" s="28" t="s">
        <v>22</v>
      </c>
      <c r="C46" s="29" t="e">
        <f t="shared" ref="C46:D46" si="9">SUM(C39:C45)</f>
        <v>#REF!</v>
      </c>
      <c r="D46" s="29" t="e">
        <f t="shared" si="9"/>
        <v>#REF!</v>
      </c>
      <c r="E46" s="29">
        <v>1213066</v>
      </c>
      <c r="F46" s="29">
        <v>1391301</v>
      </c>
      <c r="G46" s="29">
        <v>1595664</v>
      </c>
      <c r="H46" s="29">
        <v>1773373</v>
      </c>
      <c r="I46" s="29">
        <v>1676179.6</v>
      </c>
      <c r="J46" s="29">
        <v>1823011.7</v>
      </c>
      <c r="K46" s="30">
        <v>1896874</v>
      </c>
    </row>
    <row r="47" spans="2:17" x14ac:dyDescent="0.25">
      <c r="B47" s="8"/>
      <c r="C47" s="6"/>
      <c r="D47" s="6"/>
      <c r="E47" s="6"/>
      <c r="F47" s="6"/>
      <c r="G47" s="6"/>
      <c r="H47" s="6"/>
      <c r="I47" s="6"/>
      <c r="J47" s="6"/>
      <c r="K47" s="7"/>
    </row>
    <row r="48" spans="2:17" x14ac:dyDescent="0.25">
      <c r="B48" s="8" t="s">
        <v>5</v>
      </c>
      <c r="C48" s="6" t="e">
        <f>(#REF!)</f>
        <v>#REF!</v>
      </c>
      <c r="D48" s="6" t="e">
        <f>(#REF!)</f>
        <v>#REF!</v>
      </c>
      <c r="E48" s="6">
        <v>50000</v>
      </c>
      <c r="F48" s="6">
        <v>50000</v>
      </c>
      <c r="G48" s="6">
        <v>50000</v>
      </c>
      <c r="H48" s="6">
        <v>50000</v>
      </c>
      <c r="I48" s="6">
        <v>50000</v>
      </c>
      <c r="J48" s="6">
        <v>50000</v>
      </c>
      <c r="K48" s="7">
        <v>50000</v>
      </c>
    </row>
    <row r="49" spans="2:14" x14ac:dyDescent="0.25">
      <c r="B49" s="8" t="s">
        <v>72</v>
      </c>
      <c r="C49" s="6" t="e">
        <f>#REF!</f>
        <v>#REF!</v>
      </c>
      <c r="D49" s="6" t="e">
        <f>#REF!</f>
        <v>#REF!</v>
      </c>
      <c r="E49" s="6">
        <v>380803</v>
      </c>
      <c r="F49" s="6">
        <v>410697</v>
      </c>
      <c r="G49" s="6">
        <v>407353</v>
      </c>
      <c r="H49" s="6">
        <v>403276</v>
      </c>
      <c r="I49" s="6">
        <v>389734.6</v>
      </c>
      <c r="J49" s="6">
        <v>381982</v>
      </c>
      <c r="K49" s="7">
        <v>560258</v>
      </c>
    </row>
    <row r="50" spans="2:14" x14ac:dyDescent="0.25">
      <c r="B50" s="8" t="s">
        <v>64</v>
      </c>
      <c r="C50" s="6" t="e">
        <f>#REF!</f>
        <v>#REF!</v>
      </c>
      <c r="D50" s="6" t="e">
        <f>#REF!</f>
        <v>#REF!</v>
      </c>
      <c r="E50" s="6">
        <v>839</v>
      </c>
      <c r="F50" s="6">
        <v>-5699</v>
      </c>
      <c r="G50" s="6">
        <v>-3688</v>
      </c>
      <c r="H50" s="6">
        <v>819</v>
      </c>
      <c r="I50" s="6">
        <v>0</v>
      </c>
      <c r="J50" s="6">
        <v>0</v>
      </c>
      <c r="K50" s="7">
        <v>0</v>
      </c>
    </row>
    <row r="51" spans="2:14" x14ac:dyDescent="0.25">
      <c r="B51" s="8" t="s">
        <v>73</v>
      </c>
      <c r="C51" s="31" t="e">
        <f>(#REF!)</f>
        <v>#REF!</v>
      </c>
      <c r="D51" s="31" t="e">
        <f>(#REF!)</f>
        <v>#REF!</v>
      </c>
      <c r="E51" s="31">
        <v>193259</v>
      </c>
      <c r="F51" s="31">
        <v>186331</v>
      </c>
      <c r="G51" s="31">
        <v>172454</v>
      </c>
      <c r="H51" s="31">
        <v>172467</v>
      </c>
      <c r="I51" s="31">
        <v>159833.4</v>
      </c>
      <c r="J51" s="31">
        <v>153340</v>
      </c>
      <c r="K51" s="32">
        <v>0</v>
      </c>
    </row>
    <row r="52" spans="2:14" x14ac:dyDescent="0.25">
      <c r="B52" s="78" t="s">
        <v>71</v>
      </c>
      <c r="C52" s="74" t="e">
        <f>(#REF!)</f>
        <v>#REF!</v>
      </c>
      <c r="D52" s="74" t="e">
        <f>(#REF!)</f>
        <v>#REF!</v>
      </c>
      <c r="E52" s="74">
        <v>624901</v>
      </c>
      <c r="F52" s="74">
        <v>641329</v>
      </c>
      <c r="G52" s="74">
        <v>626119</v>
      </c>
      <c r="H52" s="74">
        <v>626561</v>
      </c>
      <c r="I52" s="74">
        <v>599568</v>
      </c>
      <c r="J52" s="88">
        <v>585322</v>
      </c>
      <c r="K52" s="83">
        <v>610258</v>
      </c>
    </row>
    <row r="53" spans="2:14" x14ac:dyDescent="0.25">
      <c r="B53" s="8" t="s">
        <v>65</v>
      </c>
      <c r="C53" s="6" t="e">
        <f>(#REF!)</f>
        <v>#REF!</v>
      </c>
      <c r="D53" s="6" t="e">
        <f>(#REF!)</f>
        <v>#REF!</v>
      </c>
      <c r="E53" s="6">
        <v>67340</v>
      </c>
      <c r="F53" s="6">
        <v>69799</v>
      </c>
      <c r="G53" s="6">
        <v>89822</v>
      </c>
      <c r="H53" s="6">
        <v>90865</v>
      </c>
      <c r="I53" s="6">
        <v>126070</v>
      </c>
      <c r="J53" s="6">
        <v>136202</v>
      </c>
      <c r="K53" s="7">
        <v>138919</v>
      </c>
    </row>
    <row r="54" spans="2:14" s="4" customFormat="1" x14ac:dyDescent="0.25">
      <c r="B54" s="78" t="s">
        <v>88</v>
      </c>
      <c r="C54" s="74"/>
      <c r="D54" s="74" t="e">
        <f>D52+D53</f>
        <v>#REF!</v>
      </c>
      <c r="E54" s="74">
        <v>692241</v>
      </c>
      <c r="F54" s="74">
        <v>711128</v>
      </c>
      <c r="G54" s="74">
        <v>715941</v>
      </c>
      <c r="H54" s="74">
        <v>717426</v>
      </c>
      <c r="I54" s="74">
        <v>725638</v>
      </c>
      <c r="J54" s="74">
        <v>721524</v>
      </c>
      <c r="K54" s="83">
        <v>749177</v>
      </c>
    </row>
    <row r="55" spans="2:14" x14ac:dyDescent="0.25">
      <c r="B55" s="5" t="s">
        <v>34</v>
      </c>
      <c r="C55" s="6" t="e">
        <f>(#REF!)</f>
        <v>#REF!</v>
      </c>
      <c r="D55" s="6" t="e">
        <f>(#REF!)</f>
        <v>#REF!</v>
      </c>
      <c r="E55" s="6">
        <v>55820</v>
      </c>
      <c r="F55" s="6">
        <v>61821</v>
      </c>
      <c r="G55" s="6">
        <v>218684</v>
      </c>
      <c r="H55" s="6">
        <v>262995</v>
      </c>
      <c r="I55" s="6">
        <v>172386</v>
      </c>
      <c r="J55" s="6">
        <v>226657</v>
      </c>
      <c r="K55" s="7">
        <v>350903</v>
      </c>
    </row>
    <row r="56" spans="2:14" x14ac:dyDescent="0.25">
      <c r="B56" s="5" t="s">
        <v>24</v>
      </c>
      <c r="C56" s="6" t="e">
        <f>(#REF!)</f>
        <v>#REF!</v>
      </c>
      <c r="D56" s="6" t="e">
        <f>(#REF!)/1000000</f>
        <v>#REF!</v>
      </c>
      <c r="E56" s="6">
        <v>0</v>
      </c>
      <c r="F56" s="6">
        <v>1200</v>
      </c>
      <c r="G56" s="6">
        <v>277</v>
      </c>
      <c r="H56" s="6">
        <v>249</v>
      </c>
      <c r="I56" s="6">
        <v>0</v>
      </c>
      <c r="J56" s="6">
        <v>0</v>
      </c>
      <c r="K56" s="7">
        <v>0</v>
      </c>
    </row>
    <row r="57" spans="2:14" x14ac:dyDescent="0.25">
      <c r="B57" s="5" t="s">
        <v>6</v>
      </c>
      <c r="C57" s="6" t="e">
        <f>(#REF!)</f>
        <v>#REF!</v>
      </c>
      <c r="D57" s="6" t="e">
        <f>(#REF!)</f>
        <v>#REF!</v>
      </c>
      <c r="E57" s="6">
        <v>0</v>
      </c>
      <c r="F57" s="6">
        <v>97621</v>
      </c>
      <c r="G57" s="6">
        <v>107769</v>
      </c>
      <c r="H57" s="6">
        <v>139765</v>
      </c>
      <c r="I57" s="6">
        <v>8978</v>
      </c>
      <c r="J57" s="6">
        <v>4925</v>
      </c>
      <c r="K57" s="7">
        <v>4970</v>
      </c>
    </row>
    <row r="58" spans="2:14" x14ac:dyDescent="0.25">
      <c r="B58" s="5" t="s">
        <v>7</v>
      </c>
      <c r="C58" s="6" t="e">
        <f>(#REF!)</f>
        <v>#REF!</v>
      </c>
      <c r="D58" s="6" t="e">
        <f>(#REF!)</f>
        <v>#REF!</v>
      </c>
      <c r="E58" s="6">
        <v>195411</v>
      </c>
      <c r="F58" s="6">
        <v>188325</v>
      </c>
      <c r="G58" s="6">
        <v>273017</v>
      </c>
      <c r="H58" s="6">
        <v>264233</v>
      </c>
      <c r="I58" s="6">
        <v>256049</v>
      </c>
      <c r="J58" s="6">
        <v>290951</v>
      </c>
      <c r="K58" s="7">
        <v>298146</v>
      </c>
    </row>
    <row r="59" spans="2:14" x14ac:dyDescent="0.25">
      <c r="B59" s="5" t="s">
        <v>8</v>
      </c>
      <c r="C59" s="6" t="e">
        <f>(#REF!)</f>
        <v>#REF!</v>
      </c>
      <c r="D59" s="6" t="e">
        <f>(#REF!)</f>
        <v>#REF!</v>
      </c>
      <c r="E59" s="6">
        <v>0</v>
      </c>
      <c r="F59" s="6">
        <v>119676</v>
      </c>
      <c r="G59" s="6">
        <v>116618</v>
      </c>
      <c r="H59" s="6">
        <v>149720</v>
      </c>
      <c r="I59" s="6">
        <v>114854</v>
      </c>
      <c r="J59" s="6">
        <v>123403</v>
      </c>
      <c r="K59" s="7">
        <v>111594</v>
      </c>
    </row>
    <row r="60" spans="2:14" x14ac:dyDescent="0.25">
      <c r="B60" s="5" t="s">
        <v>9</v>
      </c>
      <c r="C60" s="6" t="e">
        <f>(#REF!)</f>
        <v>#REF!</v>
      </c>
      <c r="D60" s="6" t="e">
        <f>(#REF!)</f>
        <v>#REF!</v>
      </c>
      <c r="E60" s="6">
        <v>0</v>
      </c>
      <c r="F60" s="6">
        <v>12148</v>
      </c>
      <c r="G60" s="6">
        <v>14942</v>
      </c>
      <c r="H60" s="6">
        <v>11869</v>
      </c>
      <c r="I60" s="6">
        <v>12104</v>
      </c>
      <c r="J60" s="6">
        <v>13933</v>
      </c>
      <c r="K60" s="7">
        <v>14324</v>
      </c>
    </row>
    <row r="61" spans="2:14" x14ac:dyDescent="0.25">
      <c r="B61" s="5" t="s">
        <v>10</v>
      </c>
      <c r="C61" s="6" t="e">
        <f>(#REF!)</f>
        <v>#REF!</v>
      </c>
      <c r="D61" s="6" t="e">
        <f>(#REF!)</f>
        <v>#REF!</v>
      </c>
      <c r="E61" s="6">
        <v>231727</v>
      </c>
      <c r="F61" s="6">
        <v>2706</v>
      </c>
      <c r="G61" s="6">
        <v>1460</v>
      </c>
      <c r="H61" s="6">
        <v>3127</v>
      </c>
      <c r="I61" s="6">
        <v>124990</v>
      </c>
      <c r="J61" s="6">
        <v>199017</v>
      </c>
      <c r="K61" s="7">
        <v>207016</v>
      </c>
    </row>
    <row r="62" spans="2:14" x14ac:dyDescent="0.25">
      <c r="B62" s="5" t="s">
        <v>35</v>
      </c>
      <c r="C62" s="6" t="e">
        <f>(#REF!)</f>
        <v>#REF!</v>
      </c>
      <c r="D62" s="15" t="e">
        <f>(#REF!)</f>
        <v>#REF!</v>
      </c>
      <c r="E62" s="15">
        <v>37867</v>
      </c>
      <c r="F62" s="15">
        <v>196676</v>
      </c>
      <c r="G62" s="15">
        <v>146956</v>
      </c>
      <c r="H62" s="15">
        <v>223989</v>
      </c>
      <c r="I62" s="15">
        <v>261181</v>
      </c>
      <c r="J62" s="15">
        <v>242602</v>
      </c>
      <c r="K62" s="16">
        <v>160744</v>
      </c>
    </row>
    <row r="63" spans="2:14" s="4" customFormat="1" x14ac:dyDescent="0.25">
      <c r="B63" s="28" t="s">
        <v>23</v>
      </c>
      <c r="C63" s="29" t="e">
        <f>SUM(C52:C62)</f>
        <v>#REF!</v>
      </c>
      <c r="D63" s="29" t="e">
        <f>SUM(D54:D62)</f>
        <v>#REF!</v>
      </c>
      <c r="E63" s="29">
        <v>1213066</v>
      </c>
      <c r="F63" s="29">
        <v>1391301</v>
      </c>
      <c r="G63" s="29">
        <v>1595664</v>
      </c>
      <c r="H63" s="29">
        <v>1773373</v>
      </c>
      <c r="I63" s="29">
        <v>1676180</v>
      </c>
      <c r="J63" s="29">
        <v>1823012</v>
      </c>
      <c r="K63" s="30">
        <v>1896874</v>
      </c>
      <c r="L63" s="1"/>
      <c r="M63" s="1"/>
      <c r="N63" s="1"/>
    </row>
    <row r="64" spans="2:14" x14ac:dyDescent="0.25">
      <c r="B64" s="79"/>
      <c r="C64" s="80"/>
      <c r="D64" s="81"/>
      <c r="E64" s="81"/>
      <c r="F64" s="81"/>
      <c r="G64" s="81"/>
      <c r="H64" s="81"/>
      <c r="I64" s="81"/>
      <c r="J64" s="81"/>
      <c r="K64" s="81"/>
    </row>
    <row r="65" spans="2:11" x14ac:dyDescent="0.25">
      <c r="C65" s="26"/>
      <c r="D65" s="6"/>
      <c r="H65" s="27"/>
      <c r="J65" s="27"/>
      <c r="K65" s="27"/>
    </row>
    <row r="66" spans="2:11" s="4" customFormat="1" x14ac:dyDescent="0.25">
      <c r="B66" s="2" t="s">
        <v>84</v>
      </c>
      <c r="C66" s="3">
        <v>41639</v>
      </c>
      <c r="D66" s="77">
        <v>2014</v>
      </c>
      <c r="E66" s="77">
        <v>2015</v>
      </c>
      <c r="F66" s="77">
        <v>2016</v>
      </c>
      <c r="G66" s="77">
        <v>2017</v>
      </c>
      <c r="H66" s="77">
        <v>2018</v>
      </c>
      <c r="I66" s="77" t="s">
        <v>86</v>
      </c>
      <c r="J66" s="77" t="s">
        <v>87</v>
      </c>
      <c r="K66" s="82" t="s">
        <v>93</v>
      </c>
    </row>
    <row r="67" spans="2:11" x14ac:dyDescent="0.25">
      <c r="B67" s="5"/>
      <c r="C67" s="6"/>
      <c r="D67" s="6"/>
      <c r="E67" s="6"/>
      <c r="F67" s="6"/>
      <c r="G67" s="6"/>
      <c r="H67" s="6"/>
      <c r="I67" s="6"/>
      <c r="J67" s="6"/>
      <c r="K67" s="7"/>
    </row>
    <row r="68" spans="2:11" x14ac:dyDescent="0.25">
      <c r="B68" s="33" t="s">
        <v>36</v>
      </c>
      <c r="C68" s="6">
        <v>296328</v>
      </c>
      <c r="D68" s="6">
        <v>329282</v>
      </c>
      <c r="E68" s="6">
        <v>351785</v>
      </c>
      <c r="F68" s="6">
        <v>336369</v>
      </c>
      <c r="G68" s="6">
        <v>350630</v>
      </c>
      <c r="H68" s="6">
        <v>366471</v>
      </c>
      <c r="I68" s="6">
        <v>385998</v>
      </c>
      <c r="J68" s="6">
        <v>372290</v>
      </c>
      <c r="K68" s="7">
        <v>395615</v>
      </c>
    </row>
    <row r="69" spans="2:11" x14ac:dyDescent="0.25">
      <c r="B69" s="34" t="s">
        <v>92</v>
      </c>
      <c r="C69" s="6">
        <v>-38586</v>
      </c>
      <c r="D69" s="6">
        <v>-65706</v>
      </c>
      <c r="E69" s="6">
        <v>-27695</v>
      </c>
      <c r="F69" s="6">
        <v>-10732</v>
      </c>
      <c r="G69" s="6">
        <v>-16943</v>
      </c>
      <c r="H69" s="6">
        <v>-25375</v>
      </c>
      <c r="I69" s="6">
        <v>-26923</v>
      </c>
      <c r="J69" s="6">
        <v>3445</v>
      </c>
      <c r="K69" s="7">
        <v>-10123</v>
      </c>
    </row>
    <row r="70" spans="2:11" x14ac:dyDescent="0.25">
      <c r="B70" s="34" t="s">
        <v>74</v>
      </c>
      <c r="C70" s="6">
        <v>158756</v>
      </c>
      <c r="D70" s="6">
        <v>141178</v>
      </c>
      <c r="E70" s="6">
        <v>168257</v>
      </c>
      <c r="F70" s="6">
        <v>315521</v>
      </c>
      <c r="G70" s="6">
        <v>368031</v>
      </c>
      <c r="H70" s="6">
        <v>213225</v>
      </c>
      <c r="I70" s="6">
        <v>359075</v>
      </c>
      <c r="J70" s="6">
        <v>375735</v>
      </c>
      <c r="K70" s="7">
        <v>385492</v>
      </c>
    </row>
    <row r="71" spans="2:11" x14ac:dyDescent="0.25">
      <c r="B71" s="34" t="s">
        <v>77</v>
      </c>
      <c r="C71" s="24">
        <v>0</v>
      </c>
      <c r="D71" s="24">
        <v>0</v>
      </c>
      <c r="E71" s="24">
        <v>0</v>
      </c>
      <c r="F71" s="6">
        <v>3734</v>
      </c>
      <c r="G71" s="6">
        <v>0</v>
      </c>
      <c r="H71" s="6">
        <v>0</v>
      </c>
      <c r="I71" s="6">
        <v>2526</v>
      </c>
      <c r="J71" s="6">
        <v>3979</v>
      </c>
      <c r="K71" s="7">
        <v>3397</v>
      </c>
    </row>
    <row r="72" spans="2:11" x14ac:dyDescent="0.25">
      <c r="B72" s="34" t="s">
        <v>83</v>
      </c>
      <c r="C72" s="35">
        <f>-1523-4237</f>
        <v>-5760</v>
      </c>
      <c r="D72" s="35">
        <f>-297-6992</f>
        <v>-7289</v>
      </c>
      <c r="E72" s="35">
        <v>-2521</v>
      </c>
      <c r="F72" s="35">
        <v>-280</v>
      </c>
      <c r="G72" s="35">
        <v>-206197</v>
      </c>
      <c r="H72" s="35">
        <v>-44403</v>
      </c>
      <c r="I72" s="35">
        <v>-106823</v>
      </c>
      <c r="J72" s="35">
        <v>-8208</v>
      </c>
      <c r="K72" s="36">
        <v>-61585</v>
      </c>
    </row>
    <row r="73" spans="2:11" s="4" customFormat="1" x14ac:dyDescent="0.25">
      <c r="B73" s="11" t="s">
        <v>80</v>
      </c>
      <c r="C73" s="13">
        <f>C68-C69-C70-C72</f>
        <v>181918</v>
      </c>
      <c r="D73" s="13">
        <f t="shared" ref="D73" si="10">D68-D69-D70-D72+D71</f>
        <v>261099</v>
      </c>
      <c r="E73" s="13">
        <v>213744</v>
      </c>
      <c r="F73" s="13">
        <v>35594</v>
      </c>
      <c r="G73" s="13">
        <v>205739</v>
      </c>
      <c r="H73" s="75">
        <v>223024</v>
      </c>
      <c r="I73" s="75">
        <v>163195</v>
      </c>
      <c r="J73" s="75">
        <v>5297</v>
      </c>
      <c r="K73" s="37">
        <v>85228</v>
      </c>
    </row>
    <row r="74" spans="2:11" x14ac:dyDescent="0.25">
      <c r="B74" s="11" t="s">
        <v>75</v>
      </c>
      <c r="C74" s="13">
        <v>171050</v>
      </c>
      <c r="D74" s="13">
        <v>155000</v>
      </c>
      <c r="E74" s="13">
        <v>183386</v>
      </c>
      <c r="F74" s="13">
        <v>192757</v>
      </c>
      <c r="G74" s="13">
        <v>191097</v>
      </c>
      <c r="H74" s="13">
        <v>195404</v>
      </c>
      <c r="I74" s="13">
        <v>195501</v>
      </c>
      <c r="J74" s="13">
        <v>157186</v>
      </c>
      <c r="K74" s="14">
        <v>204740</v>
      </c>
    </row>
    <row r="75" spans="2:11" s="4" customFormat="1" x14ac:dyDescent="0.25">
      <c r="B75" s="38" t="s">
        <v>79</v>
      </c>
      <c r="C75" s="39" t="e">
        <f>(#REF!)</f>
        <v>#REF!</v>
      </c>
      <c r="D75" s="39" t="e">
        <f>(#REF!)</f>
        <v>#REF!</v>
      </c>
      <c r="E75" s="39">
        <v>-172340</v>
      </c>
      <c r="F75" s="39">
        <v>9807</v>
      </c>
      <c r="G75" s="39">
        <v>134301</v>
      </c>
      <c r="H75" s="39">
        <v>169544</v>
      </c>
      <c r="I75" s="39">
        <v>214976</v>
      </c>
      <c r="J75" s="39">
        <v>265156</v>
      </c>
      <c r="K75" s="40">
        <v>311955</v>
      </c>
    </row>
    <row r="76" spans="2:11" x14ac:dyDescent="0.25">
      <c r="D76" s="27"/>
      <c r="H76" s="27"/>
      <c r="J76" s="27"/>
      <c r="K76" s="27"/>
    </row>
    <row r="77" spans="2:11" x14ac:dyDescent="0.25">
      <c r="D77" s="27"/>
      <c r="H77" s="27"/>
      <c r="J77" s="27"/>
      <c r="K77" s="27"/>
    </row>
    <row r="78" spans="2:11" s="4" customFormat="1" x14ac:dyDescent="0.25">
      <c r="B78" s="2" t="s">
        <v>96</v>
      </c>
      <c r="C78" s="3">
        <v>41639</v>
      </c>
      <c r="D78" s="77">
        <v>2014</v>
      </c>
      <c r="E78" s="77">
        <v>2015</v>
      </c>
      <c r="F78" s="77">
        <v>2016</v>
      </c>
      <c r="G78" s="77">
        <v>2017</v>
      </c>
      <c r="H78" s="77">
        <v>2018</v>
      </c>
      <c r="I78" s="77" t="s">
        <v>86</v>
      </c>
      <c r="J78" s="77" t="s">
        <v>87</v>
      </c>
      <c r="K78" s="82" t="s">
        <v>93</v>
      </c>
    </row>
    <row r="79" spans="2:11" x14ac:dyDescent="0.25">
      <c r="B79" s="8" t="s">
        <v>31</v>
      </c>
      <c r="C79" s="41" t="e">
        <f>((C5-#REF!)/#REF!)*100</f>
        <v>#REF!</v>
      </c>
      <c r="D79" s="41" t="e">
        <f>((D5-C5)/C5)*100</f>
        <v>#REF!</v>
      </c>
      <c r="E79" s="41">
        <v>5.7930023688173922</v>
      </c>
      <c r="F79" s="41">
        <v>4.8355652960589186</v>
      </c>
      <c r="G79" s="41">
        <v>7.4990387122722186</v>
      </c>
      <c r="H79" s="41">
        <v>5.041704996890755</v>
      </c>
      <c r="I79" s="41">
        <v>7.5093252547076395</v>
      </c>
      <c r="J79" s="41">
        <v>7.3292205865488054</v>
      </c>
      <c r="K79" s="42">
        <v>2.2779387122378787</v>
      </c>
    </row>
    <row r="80" spans="2:11" x14ac:dyDescent="0.25">
      <c r="B80" s="8" t="s">
        <v>18</v>
      </c>
      <c r="C80" s="41" t="e">
        <f>((#REF!-#REF!)/#REF!)*100</f>
        <v>#REF!</v>
      </c>
      <c r="D80" s="41" t="e">
        <f>((D6-C6)/C6)*100</f>
        <v>#REF!</v>
      </c>
      <c r="E80" s="41">
        <v>49.73776223776224</v>
      </c>
      <c r="F80" s="41">
        <v>13.164039696438994</v>
      </c>
      <c r="G80" s="41">
        <v>20.892442610265668</v>
      </c>
      <c r="H80" s="41">
        <v>-56.475357371452951</v>
      </c>
      <c r="I80" s="41">
        <v>-100</v>
      </c>
      <c r="J80" s="89" t="s">
        <v>78</v>
      </c>
      <c r="K80" s="84" t="s">
        <v>78</v>
      </c>
    </row>
    <row r="81" spans="2:11" x14ac:dyDescent="0.25">
      <c r="B81" s="8" t="s">
        <v>19</v>
      </c>
      <c r="C81" s="41" t="e">
        <f>((C6-#REF!)/#REF!)*100</f>
        <v>#REF!</v>
      </c>
      <c r="D81" s="41" t="e">
        <f>((D7-C7)/C7)*100</f>
        <v>#REF!</v>
      </c>
      <c r="E81" s="41">
        <v>37.505747126436781</v>
      </c>
      <c r="F81" s="41">
        <v>19.460001671821452</v>
      </c>
      <c r="G81" s="41">
        <v>-41.221747953257292</v>
      </c>
      <c r="H81" s="41">
        <v>121.27976190476191</v>
      </c>
      <c r="I81" s="41">
        <v>-43.981170141223942</v>
      </c>
      <c r="J81" s="41">
        <v>-6.837935174069627</v>
      </c>
      <c r="K81" s="42">
        <v>12.839544353383847</v>
      </c>
    </row>
    <row r="82" spans="2:11" x14ac:dyDescent="0.25">
      <c r="B82" s="8" t="s">
        <v>27</v>
      </c>
      <c r="C82" s="41" t="e">
        <f>((C8-#REF!)/#REF!)*100</f>
        <v>#REF!</v>
      </c>
      <c r="D82" s="41" t="e">
        <f>((D8-C8)/C8)*100</f>
        <v>#REF!</v>
      </c>
      <c r="E82" s="41">
        <v>6.5735957698092751</v>
      </c>
      <c r="F82" s="41">
        <v>5.2604691217468726</v>
      </c>
      <c r="G82" s="41">
        <v>6.0690457015770747</v>
      </c>
      <c r="H82" s="41">
        <v>6.7155608653327867</v>
      </c>
      <c r="I82" s="41">
        <v>5.498831008386019</v>
      </c>
      <c r="J82" s="41">
        <v>7.0656877973922825</v>
      </c>
      <c r="K82" s="42">
        <v>2.4488893523829387</v>
      </c>
    </row>
    <row r="83" spans="2:11" x14ac:dyDescent="0.25">
      <c r="B83" s="5" t="s">
        <v>11</v>
      </c>
      <c r="C83" s="41" t="e">
        <f>((C10-#REF!)/#REF!)*100</f>
        <v>#REF!</v>
      </c>
      <c r="D83" s="41" t="e">
        <f>((D10-C10)/C10)*100</f>
        <v>#REF!</v>
      </c>
      <c r="E83" s="41">
        <v>-0.20974754023339182</v>
      </c>
      <c r="F83" s="41">
        <v>2.0751328008560401</v>
      </c>
      <c r="G83" s="41">
        <v>14.633096218644702</v>
      </c>
      <c r="H83" s="41">
        <v>-0.23351895096102032</v>
      </c>
      <c r="I83" s="41">
        <v>23.436016630110977</v>
      </c>
      <c r="J83" s="41">
        <v>-14.323980268392297</v>
      </c>
      <c r="K83" s="42">
        <v>-2.5878347005107569</v>
      </c>
    </row>
    <row r="84" spans="2:11" x14ac:dyDescent="0.25">
      <c r="B84" s="5" t="s">
        <v>12</v>
      </c>
      <c r="C84" s="41" t="e">
        <f>((#REF!-#REF!)/#REF!)*100</f>
        <v>#REF!</v>
      </c>
      <c r="D84" s="43" t="s">
        <v>76</v>
      </c>
      <c r="E84" s="43" t="s">
        <v>76</v>
      </c>
      <c r="F84" s="43" t="s">
        <v>76</v>
      </c>
      <c r="G84" s="41">
        <v>1.5857760691975011</v>
      </c>
      <c r="H84" s="41">
        <v>6.1967833491012296</v>
      </c>
      <c r="I84" s="41">
        <v>-100</v>
      </c>
      <c r="J84" s="89" t="s">
        <v>78</v>
      </c>
      <c r="K84" s="84" t="s">
        <v>78</v>
      </c>
    </row>
    <row r="85" spans="2:11" x14ac:dyDescent="0.25">
      <c r="B85" s="5" t="s">
        <v>13</v>
      </c>
      <c r="C85" s="41" t="e">
        <f>((#REF!-#REF!)/#REF!)*100</f>
        <v>#REF!</v>
      </c>
      <c r="D85" s="41" t="e">
        <f>((D12-C12)/C12)*100</f>
        <v>#REF!</v>
      </c>
      <c r="E85" s="41">
        <v>10.071326065071649</v>
      </c>
      <c r="F85" s="41">
        <v>-2.7304805827446859</v>
      </c>
      <c r="G85" s="41">
        <v>11.020455795808813</v>
      </c>
      <c r="H85" s="41">
        <v>3.8376175416783043</v>
      </c>
      <c r="I85" s="41">
        <v>-5.8687761211297342</v>
      </c>
      <c r="J85" s="41">
        <v>8.9539535541121005</v>
      </c>
      <c r="K85" s="42">
        <v>3.6438754071546411</v>
      </c>
    </row>
    <row r="86" spans="2:11" x14ac:dyDescent="0.25">
      <c r="B86" s="5" t="s">
        <v>15</v>
      </c>
      <c r="C86" s="41" t="e">
        <f>((C11-#REF!)/#REF!)*100</f>
        <v>#REF!</v>
      </c>
      <c r="D86" s="43" t="s">
        <v>76</v>
      </c>
      <c r="E86" s="43" t="s">
        <v>76</v>
      </c>
      <c r="F86" s="43" t="s">
        <v>76</v>
      </c>
      <c r="G86" s="41">
        <v>-8.1955016310879643</v>
      </c>
      <c r="H86" s="41">
        <v>56.467801259273109</v>
      </c>
      <c r="I86" s="41">
        <v>191.58930634686641</v>
      </c>
      <c r="J86" s="41">
        <v>-25.682507583417589</v>
      </c>
      <c r="K86" s="42">
        <v>-7.216400073542931</v>
      </c>
    </row>
    <row r="87" spans="2:11" x14ac:dyDescent="0.25">
      <c r="B87" s="8" t="s">
        <v>26</v>
      </c>
      <c r="C87" s="41" t="e">
        <f>((C14-#REF!)/#REF!)*100</f>
        <v>#REF!</v>
      </c>
      <c r="D87" s="41" t="e">
        <f>((D14-C14)/C14)*100</f>
        <v>#REF!</v>
      </c>
      <c r="E87" s="41">
        <v>5.3332962330638924</v>
      </c>
      <c r="F87" s="41">
        <v>6.5344591726024817</v>
      </c>
      <c r="G87" s="41">
        <v>3.0865771883401876</v>
      </c>
      <c r="H87" s="41">
        <v>7.7237888573328322</v>
      </c>
      <c r="I87" s="41">
        <v>2.9479033091542419</v>
      </c>
      <c r="J87" s="41">
        <v>12.325728034257155</v>
      </c>
      <c r="K87" s="42">
        <v>3.038357033502062</v>
      </c>
    </row>
    <row r="88" spans="2:11" x14ac:dyDescent="0.25">
      <c r="B88" s="5" t="s">
        <v>14</v>
      </c>
      <c r="C88" s="41" t="e">
        <f>((C17-#REF!)/#REF!)*100</f>
        <v>#REF!</v>
      </c>
      <c r="D88" s="43" t="s">
        <v>76</v>
      </c>
      <c r="E88" s="43" t="s">
        <v>76</v>
      </c>
      <c r="F88" s="43" t="s">
        <v>76</v>
      </c>
      <c r="G88" s="41">
        <v>3.5537491532489187</v>
      </c>
      <c r="H88" s="41">
        <v>15.96890253107231</v>
      </c>
      <c r="I88" s="41">
        <v>76.386870023647845</v>
      </c>
      <c r="J88" s="41">
        <v>43.725861602420608</v>
      </c>
      <c r="K88" s="42">
        <v>-14.08619450244754</v>
      </c>
    </row>
    <row r="89" spans="2:11" x14ac:dyDescent="0.25">
      <c r="B89" s="5" t="s">
        <v>17</v>
      </c>
      <c r="C89" s="41" t="e">
        <f>((C18-#REF!)/#REF!)*100</f>
        <v>#REF!</v>
      </c>
      <c r="D89" s="41" t="e">
        <f>((D18-C18)/C18)*100</f>
        <v>#REF!</v>
      </c>
      <c r="E89" s="41">
        <v>-3.6264107765121962</v>
      </c>
      <c r="F89" s="41">
        <v>12.587865459598754</v>
      </c>
      <c r="G89" s="41">
        <v>12.194274347206079</v>
      </c>
      <c r="H89" s="41">
        <v>15.799198931909212</v>
      </c>
      <c r="I89" s="41">
        <v>-0.95649206305284218</v>
      </c>
      <c r="J89" s="41">
        <v>8.4354628422425026</v>
      </c>
      <c r="K89" s="42">
        <v>4.0132946289012175</v>
      </c>
    </row>
    <row r="90" spans="2:11" x14ac:dyDescent="0.25">
      <c r="B90" s="11" t="s">
        <v>28</v>
      </c>
      <c r="C90" s="44" t="e">
        <f>((C19-#REF!)/#REF!)*100</f>
        <v>#REF!</v>
      </c>
      <c r="D90" s="44" t="e">
        <f>((D19-C19)/C19)*100</f>
        <v>#REF!</v>
      </c>
      <c r="E90" s="44">
        <v>6.949954602294989</v>
      </c>
      <c r="F90" s="44">
        <v>-2.86954652346355</v>
      </c>
      <c r="G90" s="44">
        <v>1.329569194286037</v>
      </c>
      <c r="H90" s="44">
        <v>5.308227574432423</v>
      </c>
      <c r="I90" s="44">
        <v>-3.3205778893408797</v>
      </c>
      <c r="J90" s="44">
        <v>7.65145395357594</v>
      </c>
      <c r="K90" s="45">
        <v>6.8768048155529353</v>
      </c>
    </row>
    <row r="91" spans="2:11" x14ac:dyDescent="0.25">
      <c r="B91" s="8" t="s">
        <v>16</v>
      </c>
      <c r="C91" s="41" t="e">
        <f>((C22-#REF!)/#REF!)*100</f>
        <v>#REF!</v>
      </c>
      <c r="D91" s="41" t="e">
        <f>((D22-C22)/C22)*100</f>
        <v>#REF!</v>
      </c>
      <c r="E91" s="41">
        <v>14.217970460869708</v>
      </c>
      <c r="F91" s="41">
        <v>-5.2690001153269526</v>
      </c>
      <c r="G91" s="41">
        <v>22.192716814024621</v>
      </c>
      <c r="H91" s="41">
        <v>5.2069517351316676</v>
      </c>
      <c r="I91" s="41">
        <v>-9.4386079133497081</v>
      </c>
      <c r="J91" s="41">
        <v>13.251594687859459</v>
      </c>
      <c r="K91" s="42">
        <v>7.3342028115694475</v>
      </c>
    </row>
    <row r="92" spans="2:11" x14ac:dyDescent="0.25">
      <c r="B92" s="8" t="s">
        <v>20</v>
      </c>
      <c r="C92" s="41" t="e">
        <f>((C23-#REF!)/#REF!)*100</f>
        <v>#REF!</v>
      </c>
      <c r="D92" s="41" t="e">
        <f>((D23-C23)/C23)*100</f>
        <v>#REF!</v>
      </c>
      <c r="E92" s="41">
        <v>-4.5787873367912715</v>
      </c>
      <c r="F92" s="41">
        <v>10.674789128397375</v>
      </c>
      <c r="G92" s="41">
        <v>66.974341603861461</v>
      </c>
      <c r="H92" s="41">
        <v>-55.553301551881532</v>
      </c>
      <c r="I92" s="41">
        <v>-100</v>
      </c>
      <c r="J92" s="89" t="s">
        <v>78</v>
      </c>
      <c r="K92" s="84" t="s">
        <v>78</v>
      </c>
    </row>
    <row r="93" spans="2:11" x14ac:dyDescent="0.25">
      <c r="B93" s="11" t="s">
        <v>21</v>
      </c>
      <c r="C93" s="44" t="e">
        <f>((C24-#REF!)/#REF!)*100</f>
        <v>#REF!</v>
      </c>
      <c r="D93" s="44" t="e">
        <f>((D24-C24)/C24)*100</f>
        <v>#REF!</v>
      </c>
      <c r="E93" s="44">
        <v>3.7477567582109774</v>
      </c>
      <c r="F93" s="44">
        <v>-1.4130998505140486</v>
      </c>
      <c r="G93" s="44">
        <v>-4.7564968219880059</v>
      </c>
      <c r="H93" s="44">
        <v>1.4620500540958521</v>
      </c>
      <c r="I93" s="44">
        <v>-2.7237765260801763</v>
      </c>
      <c r="J93" s="44">
        <v>4.8307827020123044</v>
      </c>
      <c r="K93" s="45">
        <v>6.6279172004923756</v>
      </c>
    </row>
    <row r="94" spans="2:11" x14ac:dyDescent="0.25">
      <c r="B94" s="5" t="s">
        <v>29</v>
      </c>
      <c r="C94" s="41" t="e">
        <f>((C27-#REF!)/#REF!)*100</f>
        <v>#REF!</v>
      </c>
      <c r="D94" s="41" t="e">
        <f>((D27-C27)/-C27)*100</f>
        <v>#REF!</v>
      </c>
      <c r="E94" s="41">
        <v>16.170331199554688</v>
      </c>
      <c r="F94" s="41">
        <v>446.14873837981406</v>
      </c>
      <c r="G94" s="41">
        <v>16.957605985037407</v>
      </c>
      <c r="H94" s="41">
        <v>-56.12150612150613</v>
      </c>
      <c r="I94" s="41">
        <v>1.3982392542723976</v>
      </c>
      <c r="J94" s="41">
        <v>-94.90546218487394</v>
      </c>
      <c r="K94" s="42">
        <v>-13.408014782307426</v>
      </c>
    </row>
    <row r="95" spans="2:11" x14ac:dyDescent="0.25">
      <c r="B95" s="5" t="s">
        <v>32</v>
      </c>
      <c r="C95" s="41" t="e">
        <f>((C28-#REF!)/#REF!)*100</f>
        <v>#REF!</v>
      </c>
      <c r="D95" s="41" t="e">
        <f>((-D28+C28)/C28)*100</f>
        <v>#REF!</v>
      </c>
      <c r="E95" s="41">
        <v>901.76991150442484</v>
      </c>
      <c r="F95" s="41">
        <v>301.26931567328916</v>
      </c>
      <c r="G95" s="41">
        <v>145.57170276939951</v>
      </c>
      <c r="H95" s="41">
        <v>-106.13718411552347</v>
      </c>
      <c r="I95" s="41">
        <v>211.75715119673089</v>
      </c>
      <c r="J95" s="41">
        <v>43.428750522356879</v>
      </c>
      <c r="K95" s="42">
        <v>122.20683287165282</v>
      </c>
    </row>
    <row r="96" spans="2:11" x14ac:dyDescent="0.25">
      <c r="B96" s="5" t="s">
        <v>67</v>
      </c>
      <c r="C96" s="41"/>
      <c r="D96" s="41" t="e">
        <f>((D29-C29)/C29)*100</f>
        <v>#REF!</v>
      </c>
      <c r="E96" s="41">
        <v>18.760107816711592</v>
      </c>
      <c r="F96" s="41">
        <v>-47.52610077167499</v>
      </c>
      <c r="G96" s="41">
        <v>-243.51211072664358</v>
      </c>
      <c r="H96" s="41">
        <v>-249.12597950572635</v>
      </c>
      <c r="I96" s="41">
        <v>-100</v>
      </c>
      <c r="J96" s="89" t="s">
        <v>78</v>
      </c>
      <c r="K96" s="84" t="s">
        <v>78</v>
      </c>
    </row>
    <row r="97" spans="2:11" x14ac:dyDescent="0.25">
      <c r="B97" s="5" t="s">
        <v>30</v>
      </c>
      <c r="C97" s="41"/>
      <c r="D97" s="41" t="e">
        <f>((D30-C30)/C30)*100</f>
        <v>#REF!</v>
      </c>
      <c r="E97" s="41">
        <v>6.4762881015008515</v>
      </c>
      <c r="F97" s="41">
        <v>-7.6744925298578623</v>
      </c>
      <c r="G97" s="41">
        <v>-7.9022182873444491</v>
      </c>
      <c r="H97" s="41">
        <v>2.0775031509687896</v>
      </c>
      <c r="I97" s="41">
        <v>12.163194408111586</v>
      </c>
      <c r="J97" s="41">
        <v>-7.3597596813165289</v>
      </c>
      <c r="K97" s="42">
        <v>9.1115989607460079</v>
      </c>
    </row>
    <row r="98" spans="2:11" x14ac:dyDescent="0.25">
      <c r="B98" s="17" t="s">
        <v>69</v>
      </c>
      <c r="C98" s="46"/>
      <c r="D98" s="46"/>
      <c r="E98" s="46">
        <v>1.3165914350525858</v>
      </c>
      <c r="F98" s="46">
        <v>-2.3556231003039514</v>
      </c>
      <c r="G98" s="46">
        <v>-6.3433388919770239</v>
      </c>
      <c r="H98" s="46">
        <v>3.2148615631151511E-2</v>
      </c>
      <c r="I98" s="46">
        <v>-7.4957354969814789</v>
      </c>
      <c r="J98" s="46">
        <v>4.4107994620793818</v>
      </c>
      <c r="K98" s="47">
        <v>3.0351740272239089</v>
      </c>
    </row>
    <row r="99" spans="2:11" x14ac:dyDescent="0.25">
      <c r="B99" s="48" t="s">
        <v>68</v>
      </c>
      <c r="C99" s="41"/>
      <c r="D99" s="41"/>
      <c r="E99" s="41">
        <v>6.1203477730323375</v>
      </c>
      <c r="F99" s="41">
        <v>6.1806029681267738</v>
      </c>
      <c r="G99" s="41">
        <v>0.61931029814883753</v>
      </c>
      <c r="H99" s="41">
        <v>0.1748957352347639</v>
      </c>
      <c r="I99" s="41">
        <v>-8.4830781627719531</v>
      </c>
      <c r="J99" s="41">
        <v>54.09760285280327</v>
      </c>
      <c r="K99" s="42">
        <v>-22.186510487346141</v>
      </c>
    </row>
    <row r="100" spans="2:11" x14ac:dyDescent="0.25">
      <c r="B100" s="49" t="s">
        <v>70</v>
      </c>
      <c r="C100" s="50" t="e">
        <f>((C30-#REF!)/#REF!)*100</f>
        <v>#REF!</v>
      </c>
      <c r="D100" s="50" t="e">
        <f>((D30-C30)/C30)*100</f>
        <v>#REF!</v>
      </c>
      <c r="E100" s="50">
        <v>6.4762881015008515</v>
      </c>
      <c r="F100" s="50">
        <v>-7.6744925298578623</v>
      </c>
      <c r="G100" s="50">
        <v>-7.9022182873444491</v>
      </c>
      <c r="H100" s="50">
        <v>2.0775031509687896</v>
      </c>
      <c r="I100" s="50">
        <v>12.163194408111586</v>
      </c>
      <c r="J100" s="50">
        <v>-7.3597596813165289</v>
      </c>
      <c r="K100" s="51">
        <v>9.1115989607460079</v>
      </c>
    </row>
    <row r="101" spans="2:11" x14ac:dyDescent="0.25">
      <c r="D101" s="27"/>
      <c r="H101" s="27"/>
      <c r="J101" s="27"/>
      <c r="K101" s="27"/>
    </row>
    <row r="102" spans="2:11" x14ac:dyDescent="0.25">
      <c r="D102" s="27"/>
      <c r="H102" s="27"/>
      <c r="J102" s="27"/>
      <c r="K102" s="27"/>
    </row>
    <row r="103" spans="2:11" s="4" customFormat="1" x14ac:dyDescent="0.25">
      <c r="B103" s="2" t="s">
        <v>37</v>
      </c>
      <c r="C103" s="3">
        <v>41639</v>
      </c>
      <c r="D103" s="77">
        <v>2014</v>
      </c>
      <c r="E103" s="77">
        <v>2015</v>
      </c>
      <c r="F103" s="77">
        <v>2016</v>
      </c>
      <c r="G103" s="77">
        <v>2017</v>
      </c>
      <c r="H103" s="77">
        <v>2018</v>
      </c>
      <c r="I103" s="77" t="s">
        <v>86</v>
      </c>
      <c r="J103" s="77" t="s">
        <v>87</v>
      </c>
      <c r="K103" s="82" t="s">
        <v>93</v>
      </c>
    </row>
    <row r="104" spans="2:11" x14ac:dyDescent="0.25">
      <c r="B104" s="8" t="s">
        <v>0</v>
      </c>
      <c r="C104" s="41" t="e">
        <f>((C40-#REF!)/#REF!)*100</f>
        <v>#REF!</v>
      </c>
      <c r="D104" s="41" t="e">
        <f>((D40-C40)/C40)*100</f>
        <v>#REF!</v>
      </c>
      <c r="E104" s="41">
        <v>9.1638631903560412</v>
      </c>
      <c r="F104" s="41">
        <v>152.82655452473435</v>
      </c>
      <c r="G104" s="41">
        <v>279.01419538332613</v>
      </c>
      <c r="H104" s="41">
        <v>-3.6622624822447944</v>
      </c>
      <c r="I104" s="41">
        <v>-1.644805474802832</v>
      </c>
      <c r="J104" s="41">
        <v>12.050897674319938</v>
      </c>
      <c r="K104" s="42">
        <v>-10.587611658205203</v>
      </c>
    </row>
    <row r="105" spans="2:11" x14ac:dyDescent="0.25">
      <c r="B105" s="8" t="s">
        <v>1</v>
      </c>
      <c r="C105" s="41" t="e">
        <f>((C41-#REF!)/#REF!)*100</f>
        <v>#REF!</v>
      </c>
      <c r="D105" s="41" t="e">
        <f>((D41-C41)/C41)*100</f>
        <v>#REF!</v>
      </c>
      <c r="E105" s="41">
        <v>6.5857153631495597</v>
      </c>
      <c r="F105" s="41">
        <v>5.2642193006042941</v>
      </c>
      <c r="G105" s="41">
        <v>9.6142146993677802</v>
      </c>
      <c r="H105" s="41">
        <v>8.3622202972763731</v>
      </c>
      <c r="I105" s="41">
        <v>-0.97439438142156598</v>
      </c>
      <c r="J105" s="41">
        <v>7.1484803067818623</v>
      </c>
      <c r="K105" s="42">
        <v>3.8473539357605371</v>
      </c>
    </row>
    <row r="106" spans="2:11" x14ac:dyDescent="0.25">
      <c r="B106" s="5" t="s">
        <v>2</v>
      </c>
      <c r="C106" s="41" t="e">
        <f>((C42-#REF!)/#REF!)*100</f>
        <v>#REF!</v>
      </c>
      <c r="D106" s="41" t="e">
        <f>((D42-C42)/C42)*100</f>
        <v>#REF!</v>
      </c>
      <c r="E106" s="41">
        <v>8.4075256173357964</v>
      </c>
      <c r="F106" s="41">
        <v>79.984081928763104</v>
      </c>
      <c r="G106" s="41">
        <v>-38.971416943209569</v>
      </c>
      <c r="H106" s="41">
        <v>4.7463930747034304</v>
      </c>
      <c r="I106" s="41">
        <v>10.931362946275531</v>
      </c>
      <c r="J106" s="41">
        <v>15.857470340811625</v>
      </c>
      <c r="K106" s="42">
        <v>2.572737357682092</v>
      </c>
    </row>
    <row r="107" spans="2:11" x14ac:dyDescent="0.25">
      <c r="B107" s="5" t="s">
        <v>3</v>
      </c>
      <c r="C107" s="41" t="e">
        <f>((C43-#REF!)/#REF!)*100</f>
        <v>#REF!</v>
      </c>
      <c r="D107" s="41" t="e">
        <f>((D43-C43)/C43)*100</f>
        <v>#REF!</v>
      </c>
      <c r="E107" s="41">
        <v>-4.1771299075151589</v>
      </c>
      <c r="F107" s="41">
        <v>3.1831255992329819</v>
      </c>
      <c r="G107" s="41">
        <v>-11.806975159511863</v>
      </c>
      <c r="H107" s="41">
        <v>-7.5858678092294722</v>
      </c>
      <c r="I107" s="41">
        <v>-0.86645891920650608</v>
      </c>
      <c r="J107" s="41">
        <v>9.2310051368550177</v>
      </c>
      <c r="K107" s="42">
        <v>-13.651996911630517</v>
      </c>
    </row>
    <row r="108" spans="2:11" x14ac:dyDescent="0.25">
      <c r="B108" s="5" t="s">
        <v>4</v>
      </c>
      <c r="C108" s="41" t="e">
        <f>((C44-#REF!)/#REF!)*100</f>
        <v>#REF!</v>
      </c>
      <c r="D108" s="41" t="e">
        <f>((D44-C44)/C44)*100</f>
        <v>#REF!</v>
      </c>
      <c r="E108" s="41">
        <v>2.8486460270847878</v>
      </c>
      <c r="F108" s="41">
        <v>2.1505042025515864</v>
      </c>
      <c r="G108" s="41">
        <v>23.462420356316706</v>
      </c>
      <c r="H108" s="41">
        <v>17.123498740647303</v>
      </c>
      <c r="I108" s="41">
        <v>-1.5681239344124269</v>
      </c>
      <c r="J108" s="41">
        <v>16.844510021954211</v>
      </c>
      <c r="K108" s="42">
        <v>24.254911589857464</v>
      </c>
    </row>
    <row r="109" spans="2:11" x14ac:dyDescent="0.25">
      <c r="B109" s="5" t="s">
        <v>33</v>
      </c>
      <c r="C109" s="41" t="e">
        <f>((C45-#REF!)/#REF!)*100</f>
        <v>#REF!</v>
      </c>
      <c r="D109" s="41" t="e">
        <f>((D45-C45)/C45)*100</f>
        <v>#REF!</v>
      </c>
      <c r="E109" s="41">
        <v>18.723892320325611</v>
      </c>
      <c r="F109" s="41">
        <v>-6.5170076721535786</v>
      </c>
      <c r="G109" s="41">
        <v>-6.9769592665567579</v>
      </c>
      <c r="H109" s="76">
        <v>37.218540756206259</v>
      </c>
      <c r="I109" s="76">
        <v>-31.139427923387096</v>
      </c>
      <c r="J109" s="76">
        <v>-6.6279032531074016</v>
      </c>
      <c r="K109" s="52">
        <v>-2.1611637261578713</v>
      </c>
    </row>
    <row r="110" spans="2:11" x14ac:dyDescent="0.25">
      <c r="B110" s="53" t="s">
        <v>22</v>
      </c>
      <c r="C110" s="54" t="e">
        <f>((C46-#REF!)/#REF!)*100</f>
        <v>#REF!</v>
      </c>
      <c r="D110" s="54" t="e">
        <f>((D46-C46)/C46)*100</f>
        <v>#REF!</v>
      </c>
      <c r="E110" s="54">
        <v>8.5135084363991567</v>
      </c>
      <c r="F110" s="54">
        <v>14.69293509174274</v>
      </c>
      <c r="G110" s="54">
        <v>14.688625969506239</v>
      </c>
      <c r="H110" s="54">
        <v>11.136993753070822</v>
      </c>
      <c r="I110" s="54">
        <v>-5.4807082322782579</v>
      </c>
      <c r="J110" s="54">
        <v>8.7599264422499736</v>
      </c>
      <c r="K110" s="55">
        <v>4.0516635192193249</v>
      </c>
    </row>
    <row r="111" spans="2:11" x14ac:dyDescent="0.25">
      <c r="B111" s="8" t="s">
        <v>5</v>
      </c>
      <c r="C111" s="41" t="e">
        <f>((C48-#REF!)/#REF!)*100</f>
        <v>#REF!</v>
      </c>
      <c r="D111" s="41" t="e">
        <f>((D48-C48)/C48)*100</f>
        <v>#REF!</v>
      </c>
      <c r="E111" s="41">
        <v>0</v>
      </c>
      <c r="F111" s="41">
        <v>0</v>
      </c>
      <c r="G111" s="41">
        <v>0</v>
      </c>
      <c r="H111" s="41">
        <v>0</v>
      </c>
      <c r="I111" s="41">
        <v>0</v>
      </c>
      <c r="J111" s="41">
        <v>0</v>
      </c>
      <c r="K111" s="42">
        <v>0</v>
      </c>
    </row>
    <row r="112" spans="2:11" x14ac:dyDescent="0.25">
      <c r="B112" s="8" t="s">
        <v>72</v>
      </c>
      <c r="C112" s="41" t="e">
        <f>((C52-#REF!)/#REF!)*100</f>
        <v>#REF!</v>
      </c>
      <c r="D112" s="41" t="e">
        <f>((D49-C49)/C49)*100</f>
        <v>#REF!</v>
      </c>
      <c r="E112" s="41">
        <v>9.5073358984534515</v>
      </c>
      <c r="F112" s="41">
        <v>7.8502532805676424</v>
      </c>
      <c r="G112" s="41">
        <v>-0.81422557262410011</v>
      </c>
      <c r="H112" s="41">
        <v>-1.0008518410322251</v>
      </c>
      <c r="I112" s="41">
        <v>-3.3578492149297312</v>
      </c>
      <c r="J112" s="41">
        <v>-1.9891998298329112</v>
      </c>
      <c r="K112" s="42">
        <v>46.671309119277872</v>
      </c>
    </row>
    <row r="113" spans="2:11" x14ac:dyDescent="0.25">
      <c r="B113" s="8" t="s">
        <v>64</v>
      </c>
      <c r="C113" s="41" t="e">
        <f>((#REF!-#REF!)/#REF!)*100</f>
        <v>#REF!</v>
      </c>
      <c r="D113" s="41" t="e">
        <f>((D50-C50)/C50)*100</f>
        <v>#REF!</v>
      </c>
      <c r="E113" s="41">
        <v>-62.694530902623391</v>
      </c>
      <c r="F113" s="41">
        <v>-779.26102502979745</v>
      </c>
      <c r="G113" s="41">
        <v>-35.286892437269692</v>
      </c>
      <c r="H113" s="41">
        <v>-122.20715835140999</v>
      </c>
      <c r="I113" s="41">
        <v>-100</v>
      </c>
      <c r="J113" s="89" t="s">
        <v>78</v>
      </c>
      <c r="K113" s="84" t="s">
        <v>78</v>
      </c>
    </row>
    <row r="114" spans="2:11" x14ac:dyDescent="0.25">
      <c r="B114" s="8" t="s">
        <v>73</v>
      </c>
      <c r="C114" s="41" t="e">
        <f>((C53-#REF!)/#REF!)*100</f>
        <v>#REF!</v>
      </c>
      <c r="D114" s="41" t="e">
        <f>((D51-C51)/C51)*100</f>
        <v>#REF!</v>
      </c>
      <c r="E114" s="41">
        <v>0.6604476251490955</v>
      </c>
      <c r="F114" s="41">
        <v>-3.5848265798746759</v>
      </c>
      <c r="G114" s="41">
        <v>-7.4474993425677951</v>
      </c>
      <c r="H114" s="41">
        <v>7.5382420819464901E-3</v>
      </c>
      <c r="I114" s="41">
        <v>-7.3252274348136197</v>
      </c>
      <c r="J114" s="41">
        <v>-4.0626051876516387</v>
      </c>
      <c r="K114" s="42">
        <v>-100</v>
      </c>
    </row>
    <row r="115" spans="2:11" x14ac:dyDescent="0.25">
      <c r="B115" s="8" t="s">
        <v>71</v>
      </c>
      <c r="C115" s="41" t="e">
        <f>((C55-#REF!)/#REF!)*100</f>
        <v>#REF!</v>
      </c>
      <c r="D115" s="41" t="e">
        <f>((D52-C52)/C52)*100</f>
        <v>#REF!</v>
      </c>
      <c r="E115" s="41">
        <v>5.5608109706038364</v>
      </c>
      <c r="F115" s="41">
        <v>2.6288964171924833</v>
      </c>
      <c r="G115" s="41">
        <v>-2.3716376462003121</v>
      </c>
      <c r="H115" s="41">
        <v>7.0593609202084587E-2</v>
      </c>
      <c r="I115" s="41">
        <v>-4.3081200393896211</v>
      </c>
      <c r="J115" s="41">
        <v>-2.3760440850745872</v>
      </c>
      <c r="K115" s="42">
        <v>4.2602191614188429</v>
      </c>
    </row>
    <row r="116" spans="2:11" x14ac:dyDescent="0.25">
      <c r="B116" s="8" t="s">
        <v>65</v>
      </c>
      <c r="C116" s="41" t="e">
        <f>((C56-#REF!)/#REF!)*100</f>
        <v>#REF!</v>
      </c>
      <c r="D116" s="41" t="e">
        <f>((D53-C53)/C53)*100</f>
        <v>#REF!</v>
      </c>
      <c r="E116" s="41">
        <v>6.824455090580285</v>
      </c>
      <c r="F116" s="41">
        <v>3.6516186516186515</v>
      </c>
      <c r="G116" s="41">
        <v>28.686657401968507</v>
      </c>
      <c r="H116" s="41">
        <v>1.1611854556790095</v>
      </c>
      <c r="I116" s="41">
        <v>38.744290981125843</v>
      </c>
      <c r="J116" s="41">
        <v>8.0368049496311578</v>
      </c>
      <c r="K116" s="42">
        <v>1.9948312065902116</v>
      </c>
    </row>
    <row r="117" spans="2:11" x14ac:dyDescent="0.25">
      <c r="B117" s="8" t="s">
        <v>88</v>
      </c>
      <c r="C117" s="41"/>
      <c r="D117" s="41"/>
      <c r="E117" s="41">
        <v>5.6824219107813505</v>
      </c>
      <c r="F117" s="41">
        <v>2.7283850566493459</v>
      </c>
      <c r="G117" s="41">
        <v>0.67681205071379558</v>
      </c>
      <c r="H117" s="41">
        <v>0.20741932645287811</v>
      </c>
      <c r="I117" s="41">
        <v>1.1446476709793065</v>
      </c>
      <c r="J117" s="41">
        <v>-0.56694936042489508</v>
      </c>
      <c r="K117" s="42">
        <v>3.8325821455696554</v>
      </c>
    </row>
    <row r="118" spans="2:11" x14ac:dyDescent="0.25">
      <c r="B118" s="5" t="s">
        <v>34</v>
      </c>
      <c r="C118" s="41"/>
      <c r="D118" s="41" t="e">
        <f>((D55-C55)/C55)*100</f>
        <v>#REF!</v>
      </c>
      <c r="E118" s="41">
        <v>22.659752131493363</v>
      </c>
      <c r="F118" s="41">
        <v>10.750627015406664</v>
      </c>
      <c r="G118" s="41">
        <v>253.73740314779769</v>
      </c>
      <c r="H118" s="41">
        <v>20.262570649887511</v>
      </c>
      <c r="I118" s="41">
        <v>-34.452746249928708</v>
      </c>
      <c r="J118" s="41">
        <v>31.482254939496247</v>
      </c>
      <c r="K118" s="42">
        <v>54.81674953784794</v>
      </c>
    </row>
    <row r="119" spans="2:11" x14ac:dyDescent="0.25">
      <c r="B119" s="5" t="s">
        <v>24</v>
      </c>
      <c r="C119" s="41"/>
      <c r="D119" s="56" t="s">
        <v>76</v>
      </c>
      <c r="E119" s="56" t="s">
        <v>76</v>
      </c>
      <c r="F119" s="56" t="s">
        <v>76</v>
      </c>
      <c r="G119" s="41">
        <v>-76.916666666666671</v>
      </c>
      <c r="H119" s="41">
        <v>-10.108303249097473</v>
      </c>
      <c r="I119" s="41">
        <v>-100</v>
      </c>
      <c r="J119" s="89" t="s">
        <v>78</v>
      </c>
      <c r="K119" s="84" t="s">
        <v>78</v>
      </c>
    </row>
    <row r="120" spans="2:11" x14ac:dyDescent="0.25">
      <c r="B120" s="5" t="s">
        <v>6</v>
      </c>
      <c r="C120" s="41" t="e">
        <f>((C57-#REF!)/#REF!)*100</f>
        <v>#REF!</v>
      </c>
      <c r="D120" s="56" t="s">
        <v>76</v>
      </c>
      <c r="E120" s="56" t="s">
        <v>76</v>
      </c>
      <c r="F120" s="56" t="s">
        <v>76</v>
      </c>
      <c r="G120" s="41">
        <v>10.39530428903617</v>
      </c>
      <c r="H120" s="41">
        <v>29.68942831426477</v>
      </c>
      <c r="I120" s="41">
        <v>-93.576360319107081</v>
      </c>
      <c r="J120" s="41">
        <v>-45.14368456226331</v>
      </c>
      <c r="K120" s="42">
        <v>0.91370558375634525</v>
      </c>
    </row>
    <row r="121" spans="2:11" x14ac:dyDescent="0.25">
      <c r="B121" s="5" t="s">
        <v>7</v>
      </c>
      <c r="C121" s="41" t="e">
        <f>((C58-#REF!)/#REF!)*100</f>
        <v>#REF!</v>
      </c>
      <c r="D121" s="41" t="e">
        <f>((D58-C58)/C58)*100</f>
        <v>#REF!</v>
      </c>
      <c r="E121" s="41">
        <v>7.0123654206323991</v>
      </c>
      <c r="F121" s="41">
        <v>-3.6262032331854397</v>
      </c>
      <c r="G121" s="41">
        <v>44.971193415637863</v>
      </c>
      <c r="H121" s="41">
        <v>-3.2173820677833245</v>
      </c>
      <c r="I121" s="41">
        <v>-3.0972664277361268</v>
      </c>
      <c r="J121" s="41">
        <v>13.630984694335849</v>
      </c>
      <c r="K121" s="42">
        <v>2.4729249942430171</v>
      </c>
    </row>
    <row r="122" spans="2:11" x14ac:dyDescent="0.25">
      <c r="B122" s="5" t="s">
        <v>8</v>
      </c>
      <c r="C122" s="41" t="e">
        <f>((C59-#REF!)/#REF!)*100</f>
        <v>#REF!</v>
      </c>
      <c r="D122" s="43" t="s">
        <v>76</v>
      </c>
      <c r="E122" s="43" t="s">
        <v>76</v>
      </c>
      <c r="F122" s="43" t="s">
        <v>76</v>
      </c>
      <c r="G122" s="41">
        <v>-2.5552324609779737</v>
      </c>
      <c r="H122" s="41">
        <v>28.384983450239243</v>
      </c>
      <c r="I122" s="41">
        <v>-23.287469943895271</v>
      </c>
      <c r="J122" s="41">
        <v>7.4433628780887036</v>
      </c>
      <c r="K122" s="42">
        <v>-9.569459413466447</v>
      </c>
    </row>
    <row r="123" spans="2:11" x14ac:dyDescent="0.25">
      <c r="B123" s="5" t="s">
        <v>9</v>
      </c>
      <c r="C123" s="41" t="e">
        <f>((C60-#REF!)/#REF!)*100</f>
        <v>#REF!</v>
      </c>
      <c r="D123" s="43" t="s">
        <v>76</v>
      </c>
      <c r="E123" s="43" t="s">
        <v>76</v>
      </c>
      <c r="F123" s="43" t="s">
        <v>76</v>
      </c>
      <c r="G123" s="41">
        <v>22.9996707276918</v>
      </c>
      <c r="H123" s="41">
        <v>-20.566189265158613</v>
      </c>
      <c r="I123" s="41">
        <v>1.9799477630802933</v>
      </c>
      <c r="J123" s="41">
        <v>15.110707204230007</v>
      </c>
      <c r="K123" s="42">
        <v>2.806287231751956</v>
      </c>
    </row>
    <row r="124" spans="2:11" x14ac:dyDescent="0.25">
      <c r="B124" s="5" t="s">
        <v>10</v>
      </c>
      <c r="C124" s="41" t="e">
        <f>((C61-#REF!)/#REF!)*100</f>
        <v>#REF!</v>
      </c>
      <c r="D124" s="41" t="e">
        <f>((D61-C61)/C61)*100</f>
        <v>#REF!</v>
      </c>
      <c r="E124" s="41">
        <v>11.681583120069016</v>
      </c>
      <c r="F124" s="41">
        <v>-98.83224656600224</v>
      </c>
      <c r="G124" s="41">
        <v>-46.045824094604583</v>
      </c>
      <c r="H124" s="41">
        <v>114.17808219178083</v>
      </c>
      <c r="I124" s="41">
        <v>3897.1218420211067</v>
      </c>
      <c r="J124" s="41">
        <v>59.226338107048562</v>
      </c>
      <c r="K124" s="42">
        <v>4.0192546365385873</v>
      </c>
    </row>
    <row r="125" spans="2:11" x14ac:dyDescent="0.25">
      <c r="B125" s="5" t="s">
        <v>35</v>
      </c>
      <c r="C125" s="41" t="e">
        <f>((C62-#REF!)/#REF!)*100</f>
        <v>#REF!</v>
      </c>
      <c r="D125" s="41" t="e">
        <f>((D62-C62)/C62)*100</f>
        <v>#REF!</v>
      </c>
      <c r="E125" s="41">
        <v>38.854460782516227</v>
      </c>
      <c r="F125" s="41">
        <v>419.38627300816017</v>
      </c>
      <c r="G125" s="41">
        <v>-25.280156195977138</v>
      </c>
      <c r="H125" s="41">
        <v>52.419091428726958</v>
      </c>
      <c r="I125" s="41">
        <v>16.604386822567179</v>
      </c>
      <c r="J125" s="41">
        <v>-7.1134577170621149</v>
      </c>
      <c r="K125" s="42">
        <v>-33.741683910272791</v>
      </c>
    </row>
    <row r="126" spans="2:11" x14ac:dyDescent="0.25">
      <c r="B126" s="53" t="s">
        <v>23</v>
      </c>
      <c r="C126" s="54" t="e">
        <f>((C63-#REF!)/#REF!)*100</f>
        <v>#REF!</v>
      </c>
      <c r="D126" s="54" t="e">
        <f>((D63-C63)/C63)*100</f>
        <v>#REF!</v>
      </c>
      <c r="E126" s="54">
        <v>8.5135084363991567</v>
      </c>
      <c r="F126" s="54">
        <v>14.69293509174274</v>
      </c>
      <c r="G126" s="54">
        <v>14.688625969506239</v>
      </c>
      <c r="H126" s="54">
        <v>11.136993753070822</v>
      </c>
      <c r="I126" s="54">
        <v>-5.4806856763918246</v>
      </c>
      <c r="J126" s="54">
        <v>8.7599183858535472</v>
      </c>
      <c r="K126" s="55">
        <v>4.051646396183898</v>
      </c>
    </row>
    <row r="127" spans="2:11" x14ac:dyDescent="0.25">
      <c r="D127" s="27"/>
      <c r="H127" s="27"/>
      <c r="J127" s="27"/>
      <c r="K127" s="27"/>
    </row>
    <row r="128" spans="2:11" x14ac:dyDescent="0.25">
      <c r="D128" s="27"/>
      <c r="H128" s="27"/>
      <c r="J128" s="27"/>
      <c r="K128" s="27"/>
    </row>
    <row r="129" spans="2:11" s="4" customFormat="1" x14ac:dyDescent="0.25">
      <c r="B129" s="2" t="s">
        <v>63</v>
      </c>
      <c r="C129" s="3">
        <v>41639</v>
      </c>
      <c r="D129" s="77">
        <v>2014</v>
      </c>
      <c r="E129" s="77">
        <v>2015</v>
      </c>
      <c r="F129" s="77">
        <v>2016</v>
      </c>
      <c r="G129" s="77">
        <v>2017</v>
      </c>
      <c r="H129" s="77">
        <v>2018</v>
      </c>
      <c r="I129" s="77" t="s">
        <v>86</v>
      </c>
      <c r="J129" s="77" t="s">
        <v>87</v>
      </c>
      <c r="K129" s="82" t="s">
        <v>93</v>
      </c>
    </row>
    <row r="130" spans="2:11" x14ac:dyDescent="0.25">
      <c r="B130" s="5"/>
      <c r="C130" s="6"/>
      <c r="D130" s="6"/>
      <c r="E130" s="6"/>
      <c r="F130" s="6"/>
      <c r="G130" s="6"/>
      <c r="H130" s="6"/>
      <c r="I130" s="6"/>
      <c r="J130" s="6"/>
      <c r="K130" s="7"/>
    </row>
    <row r="131" spans="2:11" s="4" customFormat="1" x14ac:dyDescent="0.25">
      <c r="B131" s="57" t="s">
        <v>39</v>
      </c>
      <c r="C131" s="13"/>
      <c r="D131" s="13"/>
      <c r="E131" s="13"/>
      <c r="F131" s="13"/>
      <c r="G131" s="13"/>
      <c r="H131" s="13"/>
      <c r="I131" s="13"/>
      <c r="J131" s="13"/>
      <c r="K131" s="14"/>
    </row>
    <row r="132" spans="2:11" x14ac:dyDescent="0.25">
      <c r="B132" s="8" t="s">
        <v>54</v>
      </c>
      <c r="C132" s="41" t="e">
        <f>(C31/C5)*100</f>
        <v>#REF!</v>
      </c>
      <c r="D132" s="41" t="e">
        <f>(D31/D5)*100</f>
        <v>#REF!</v>
      </c>
      <c r="E132" s="41">
        <v>25.609904423884878</v>
      </c>
      <c r="F132" s="41">
        <v>23.853194790041503</v>
      </c>
      <c r="G132" s="41">
        <v>20.781679609006019</v>
      </c>
      <c r="H132" s="41">
        <v>19.790578067940302</v>
      </c>
      <c r="I132" s="41">
        <v>17.028409990734485</v>
      </c>
      <c r="J132" s="41">
        <v>16.565385372075195</v>
      </c>
      <c r="K132" s="42">
        <v>16.68803053845248</v>
      </c>
    </row>
    <row r="133" spans="2:11" x14ac:dyDescent="0.25">
      <c r="B133" s="8" t="s">
        <v>55</v>
      </c>
      <c r="C133" s="41" t="e">
        <f>(C5/C46)*100</f>
        <v>#REF!</v>
      </c>
      <c r="D133" s="41" t="e">
        <f>(D5/D46)*100</f>
        <v>#REF!</v>
      </c>
      <c r="E133" s="41">
        <v>71.166037132357189</v>
      </c>
      <c r="F133" s="41">
        <v>65.049619025645782</v>
      </c>
      <c r="G133" s="41">
        <v>60.971796067342495</v>
      </c>
      <c r="H133" s="41">
        <v>57.627808701271533</v>
      </c>
      <c r="I133" s="41">
        <v>65.547749179145242</v>
      </c>
      <c r="J133" s="41">
        <v>64.68548720778918</v>
      </c>
      <c r="K133" s="42">
        <v>63.582820999180754</v>
      </c>
    </row>
    <row r="134" spans="2:11" x14ac:dyDescent="0.25">
      <c r="B134" s="8" t="s">
        <v>56</v>
      </c>
      <c r="C134" s="41" t="e">
        <f>(C46/(C48+C52+C53))*100</f>
        <v>#REF!</v>
      </c>
      <c r="D134" s="41" t="e">
        <f>(D46/(D48+D52+D53))*100</f>
        <v>#REF!</v>
      </c>
      <c r="E134" s="41">
        <v>163.43290117360803</v>
      </c>
      <c r="F134" s="41">
        <v>182.79461536035987</v>
      </c>
      <c r="G134" s="41">
        <v>208.32727324950616</v>
      </c>
      <c r="H134" s="41">
        <v>231.08065142437187</v>
      </c>
      <c r="I134" s="41">
        <v>216.10333686590911</v>
      </c>
      <c r="J134" s="41">
        <v>236.28710189184002</v>
      </c>
      <c r="K134" s="42">
        <v>237.35342733837433</v>
      </c>
    </row>
    <row r="135" spans="2:11" x14ac:dyDescent="0.25">
      <c r="B135" s="8" t="s">
        <v>57</v>
      </c>
      <c r="C135" s="41" t="e">
        <f>(C31/(C48+C52+C53))*100</f>
        <v>#REF!</v>
      </c>
      <c r="D135" s="41" t="e">
        <f>(D31/(D48+D52+D53))*100</f>
        <v>#REF!</v>
      </c>
      <c r="E135" s="41">
        <v>29.786551807297091</v>
      </c>
      <c r="F135" s="41">
        <v>28.363166247989824</v>
      </c>
      <c r="G135" s="41">
        <v>26.397072359359271</v>
      </c>
      <c r="H135" s="41">
        <v>26.354462840716891</v>
      </c>
      <c r="I135" s="41">
        <v>24.120891446783162</v>
      </c>
      <c r="J135" s="41">
        <v>25.319108673223383</v>
      </c>
      <c r="K135" s="42">
        <v>25.184908975108144</v>
      </c>
    </row>
    <row r="136" spans="2:11" x14ac:dyDescent="0.25">
      <c r="B136" s="8" t="s">
        <v>58</v>
      </c>
      <c r="C136" s="41" t="e">
        <f>(C31/C46)*100</f>
        <v>#REF!</v>
      </c>
      <c r="D136" s="41" t="e">
        <f>(D31/D46)*100</f>
        <v>#REF!</v>
      </c>
      <c r="E136" s="41">
        <v>18.225554091863096</v>
      </c>
      <c r="F136" s="41">
        <v>15.516412336367186</v>
      </c>
      <c r="G136" s="41">
        <v>12.670963310571647</v>
      </c>
      <c r="H136" s="41">
        <v>11.404876469868437</v>
      </c>
      <c r="I136" s="41">
        <v>11.16173946992315</v>
      </c>
      <c r="J136" s="41">
        <v>10.71540023577468</v>
      </c>
      <c r="K136" s="42">
        <v>10.610720585552862</v>
      </c>
    </row>
    <row r="137" spans="2:11" x14ac:dyDescent="0.25">
      <c r="B137" s="8" t="s">
        <v>59</v>
      </c>
      <c r="C137" s="41" t="e">
        <f>(#REF!/#REF!)*100</f>
        <v>#REF!</v>
      </c>
      <c r="D137" s="41" t="e">
        <f>(#REF!/#REF!)*100</f>
        <v>#REF!</v>
      </c>
      <c r="E137" s="41">
        <v>63.631945839014861</v>
      </c>
      <c r="F137" s="41">
        <v>65.958428490767972</v>
      </c>
      <c r="G137" s="41">
        <v>69.649544921162402</v>
      </c>
      <c r="H137" s="41">
        <v>70.812525994569768</v>
      </c>
      <c r="I137" s="41">
        <v>72.865139885469077</v>
      </c>
      <c r="J137" s="41">
        <v>73.431556992387115</v>
      </c>
      <c r="K137" s="42">
        <v>72.347794504461802</v>
      </c>
    </row>
    <row r="138" spans="2:11" x14ac:dyDescent="0.25">
      <c r="B138" s="8"/>
      <c r="C138" s="41"/>
      <c r="D138" s="41"/>
      <c r="E138" s="41"/>
      <c r="F138" s="41"/>
      <c r="G138" s="41"/>
      <c r="H138" s="41"/>
      <c r="I138" s="41"/>
      <c r="J138" s="41"/>
      <c r="K138" s="42"/>
    </row>
    <row r="139" spans="2:11" s="4" customFormat="1" x14ac:dyDescent="0.25">
      <c r="B139" s="57" t="s">
        <v>40</v>
      </c>
      <c r="C139" s="13"/>
      <c r="D139" s="13"/>
      <c r="E139" s="13"/>
      <c r="F139" s="13"/>
      <c r="G139" s="13"/>
      <c r="H139" s="13"/>
      <c r="I139" s="13"/>
      <c r="J139" s="13"/>
      <c r="K139" s="14"/>
    </row>
    <row r="140" spans="2:11" x14ac:dyDescent="0.25">
      <c r="B140" s="8" t="s">
        <v>60</v>
      </c>
      <c r="C140" s="41" t="e">
        <f>((C44+C43)/(C61+C60+C59+C58+C57+C56))*100</f>
        <v>#REF!</v>
      </c>
      <c r="D140" s="41" t="e">
        <f>((D44+D43)/(D61+D60+D59+D58+D57+D56))*100</f>
        <v>#REF!</v>
      </c>
      <c r="E140" s="41">
        <v>48.842060411389291</v>
      </c>
      <c r="F140" s="41">
        <v>50.576983276259504</v>
      </c>
      <c r="G140" s="41">
        <v>50.111752382397391</v>
      </c>
      <c r="H140" s="41">
        <v>52.413074312389384</v>
      </c>
      <c r="I140" s="41">
        <v>56.797137192320712</v>
      </c>
      <c r="J140" s="41">
        <v>54.109191448035446</v>
      </c>
      <c r="K140" s="42">
        <v>65.980347456960928</v>
      </c>
    </row>
    <row r="141" spans="2:11" x14ac:dyDescent="0.25">
      <c r="B141" s="8" t="s">
        <v>61</v>
      </c>
      <c r="C141" s="41" t="e">
        <f>((C43+C44)/C46)*100</f>
        <v>#REF!</v>
      </c>
      <c r="D141" s="41" t="e">
        <f>((D43+D44)/D46)*100</f>
        <v>#REF!</v>
      </c>
      <c r="E141" s="41">
        <v>17.197992524726601</v>
      </c>
      <c r="F141" s="41">
        <v>15.328890010141588</v>
      </c>
      <c r="G141" s="41">
        <v>16.14475227867521</v>
      </c>
      <c r="H141" s="41">
        <v>16.816033626315502</v>
      </c>
      <c r="I141" s="41">
        <v>17.517633551917704</v>
      </c>
      <c r="J141" s="41">
        <v>18.765321144126503</v>
      </c>
      <c r="K141" s="42">
        <v>22.12418958771115</v>
      </c>
    </row>
    <row r="142" spans="2:11" x14ac:dyDescent="0.25">
      <c r="B142" s="8" t="s">
        <v>52</v>
      </c>
      <c r="C142" s="41" t="e">
        <f>C43/(-C10/360)</f>
        <v>#REF!</v>
      </c>
      <c r="D142" s="41" t="e">
        <f>D43/(-D10/360)</f>
        <v>#REF!</v>
      </c>
      <c r="E142" s="41">
        <v>107.62028509190965</v>
      </c>
      <c r="F142" s="41">
        <v>108.78846873830027</v>
      </c>
      <c r="G142" s="41">
        <v>83.696458023743816</v>
      </c>
      <c r="H142" s="41">
        <v>77.528398860771929</v>
      </c>
      <c r="I142" s="41">
        <v>62.264361109637719</v>
      </c>
      <c r="J142" s="41">
        <v>79.382758086983429</v>
      </c>
      <c r="K142" s="42">
        <v>70.36639232260319</v>
      </c>
    </row>
    <row r="143" spans="2:11" x14ac:dyDescent="0.25">
      <c r="B143" s="8" t="s">
        <v>51</v>
      </c>
      <c r="C143" s="41" t="e">
        <f>C5/C43</f>
        <v>#REF!</v>
      </c>
      <c r="D143" s="41" t="e">
        <f>D5/D43</f>
        <v>#REF!</v>
      </c>
      <c r="E143" s="41">
        <v>55.179993608181526</v>
      </c>
      <c r="F143" s="41">
        <v>56.063680852381836</v>
      </c>
      <c r="G143" s="41">
        <v>68.336377045725925</v>
      </c>
      <c r="H143" s="41">
        <v>77.673937827772292</v>
      </c>
      <c r="I143" s="41">
        <v>84.23660200874032</v>
      </c>
      <c r="J143" s="41">
        <v>82.769986663859058</v>
      </c>
      <c r="K143" s="42">
        <v>98.03983092180134</v>
      </c>
    </row>
    <row r="144" spans="2:11" x14ac:dyDescent="0.25">
      <c r="B144" s="8" t="s">
        <v>81</v>
      </c>
      <c r="C144" s="41" t="e">
        <f>(C44/(C5*1.2))*360</f>
        <v>#REF!</v>
      </c>
      <c r="D144" s="41" t="e">
        <f>(D44/(D5*1.2))*360</f>
        <v>#REF!</v>
      </c>
      <c r="E144" s="41">
        <v>67.061280611056986</v>
      </c>
      <c r="F144" s="41">
        <v>65.343699035176499</v>
      </c>
      <c r="G144" s="41">
        <v>75.047101207209337</v>
      </c>
      <c r="H144" s="41">
        <v>83.678945081784349</v>
      </c>
      <c r="I144" s="41">
        <v>76.613591724022442</v>
      </c>
      <c r="J144" s="41">
        <v>83.405782107555467</v>
      </c>
      <c r="K144" s="42">
        <v>101.32760018771465</v>
      </c>
    </row>
    <row r="145" spans="2:11" x14ac:dyDescent="0.25">
      <c r="B145" s="8" t="s">
        <v>82</v>
      </c>
      <c r="C145" s="41" t="e">
        <f>(C58/(C5*1.2))*360</f>
        <v>#REF!</v>
      </c>
      <c r="D145" s="41" t="e">
        <f>(D58/(D5*1.2))*360</f>
        <v>#REF!</v>
      </c>
      <c r="E145" s="41">
        <v>67.90676608466903</v>
      </c>
      <c r="F145" s="41">
        <v>62.425693563570952</v>
      </c>
      <c r="G145" s="41">
        <v>84.186123002759786</v>
      </c>
      <c r="H145" s="41">
        <v>77.566842408088021</v>
      </c>
      <c r="I145" s="41">
        <v>69.914298560659986</v>
      </c>
      <c r="J145" s="41">
        <v>74.019270299790378</v>
      </c>
      <c r="K145" s="42">
        <v>74.160383256252047</v>
      </c>
    </row>
    <row r="146" spans="2:11" x14ac:dyDescent="0.25">
      <c r="B146" s="8"/>
      <c r="C146" s="41"/>
      <c r="D146" s="41"/>
      <c r="E146" s="41"/>
      <c r="F146" s="41"/>
      <c r="G146" s="41"/>
      <c r="H146" s="41"/>
      <c r="I146" s="41"/>
      <c r="J146" s="41"/>
      <c r="K146" s="42"/>
    </row>
    <row r="147" spans="2:11" s="4" customFormat="1" x14ac:dyDescent="0.25">
      <c r="B147" s="57" t="s">
        <v>41</v>
      </c>
      <c r="C147" s="13"/>
      <c r="D147" s="13"/>
      <c r="E147" s="13"/>
      <c r="F147" s="13"/>
      <c r="G147" s="13"/>
      <c r="H147" s="13"/>
      <c r="I147" s="13"/>
      <c r="J147" s="13"/>
      <c r="K147" s="14"/>
    </row>
    <row r="148" spans="2:11" x14ac:dyDescent="0.25">
      <c r="B148" s="5" t="s">
        <v>89</v>
      </c>
      <c r="C148" s="41" t="e">
        <f>(C55/(C48+C52+C53))*100</f>
        <v>#REF!</v>
      </c>
      <c r="D148" s="41" t="e">
        <f>(D55/(D52+D53))*100</f>
        <v>#REF!</v>
      </c>
      <c r="E148" s="41">
        <v>13.533870429518045</v>
      </c>
      <c r="F148" s="41">
        <v>36.350277305913984</v>
      </c>
      <c r="G148" s="41">
        <v>51.071247491064206</v>
      </c>
      <c r="H148" s="41">
        <v>67.879335290329593</v>
      </c>
      <c r="I148" s="41">
        <v>59.749765034355974</v>
      </c>
      <c r="J148" s="41">
        <v>65.037199039810176</v>
      </c>
      <c r="K148" s="42">
        <v>68.294541877286676</v>
      </c>
    </row>
    <row r="149" spans="2:11" x14ac:dyDescent="0.25">
      <c r="B149" s="5" t="s">
        <v>90</v>
      </c>
      <c r="C149" s="41" t="e">
        <f>C19/(#REF!)</f>
        <v>#REF!</v>
      </c>
      <c r="D149" s="41" t="e">
        <f>D19/(#REF!)</f>
        <v>#REF!</v>
      </c>
      <c r="E149" s="85">
        <v>53.567097532314925</v>
      </c>
      <c r="F149" s="85">
        <v>21.806205368135927</v>
      </c>
      <c r="G149" s="85">
        <v>23.649886669126563</v>
      </c>
      <c r="H149" s="85">
        <v>19.08770654062134</v>
      </c>
      <c r="I149" s="85">
        <v>26.925375773651634</v>
      </c>
      <c r="J149" s="85">
        <v>16.190037204095741</v>
      </c>
      <c r="K149" s="86">
        <v>16.390843313373253</v>
      </c>
    </row>
    <row r="150" spans="2:11" x14ac:dyDescent="0.25">
      <c r="B150" s="5" t="s">
        <v>91</v>
      </c>
      <c r="C150" s="41" t="e">
        <f>(C55/C19)*100</f>
        <v>#REF!</v>
      </c>
      <c r="D150" s="41" t="e">
        <f>(D55/D19)*100</f>
        <v>#REF!</v>
      </c>
      <c r="E150" s="85">
        <v>0.20551884805728124</v>
      </c>
      <c r="F150" s="85">
        <v>0.58381119078538757</v>
      </c>
      <c r="G150" s="85">
        <v>0.8149564705725022</v>
      </c>
      <c r="H150" s="85">
        <v>1.030701958609713</v>
      </c>
      <c r="I150" s="85">
        <v>0.94916252361593645</v>
      </c>
      <c r="J150" s="85">
        <v>0.95428275104730143</v>
      </c>
      <c r="K150" s="86">
        <v>0.97353469468524767</v>
      </c>
    </row>
    <row r="151" spans="2:11" x14ac:dyDescent="0.25">
      <c r="B151" s="58" t="s">
        <v>85</v>
      </c>
      <c r="C151" s="71"/>
      <c r="D151" s="72" t="e">
        <f>SUM(D48:D51)/D46*100</f>
        <v>#REF!</v>
      </c>
      <c r="E151" s="72">
        <v>51.514179772576263</v>
      </c>
      <c r="F151" s="72">
        <v>46.095632792616406</v>
      </c>
      <c r="G151" s="72">
        <v>39.238774579109389</v>
      </c>
      <c r="H151" s="72">
        <v>35.331653295725154</v>
      </c>
      <c r="I151" s="72">
        <v>35.769913916145981</v>
      </c>
      <c r="J151" s="72">
        <v>32.107418729128291</v>
      </c>
      <c r="K151" s="73">
        <v>32.171773138331808</v>
      </c>
    </row>
    <row r="152" spans="2:11" x14ac:dyDescent="0.25">
      <c r="I152" s="1"/>
    </row>
    <row r="153" spans="2:11" x14ac:dyDescent="0.25">
      <c r="B153" s="59" t="s">
        <v>42</v>
      </c>
      <c r="C153" s="60"/>
      <c r="D153" s="60"/>
      <c r="E153" s="60"/>
      <c r="F153" s="60"/>
      <c r="G153" s="60"/>
      <c r="H153" s="60"/>
      <c r="I153" s="60"/>
      <c r="J153" s="60"/>
      <c r="K153" s="61"/>
    </row>
    <row r="154" spans="2:11" x14ac:dyDescent="0.25">
      <c r="B154" s="62" t="s">
        <v>62</v>
      </c>
      <c r="C154" s="63"/>
      <c r="D154" s="63"/>
      <c r="E154" s="63"/>
      <c r="F154" s="63"/>
      <c r="G154" s="63"/>
      <c r="H154" s="63"/>
      <c r="I154" s="63"/>
      <c r="J154" s="63"/>
      <c r="K154" s="64"/>
    </row>
    <row r="155" spans="2:11" x14ac:dyDescent="0.25">
      <c r="B155" s="62" t="s">
        <v>43</v>
      </c>
      <c r="C155" s="63"/>
      <c r="D155" s="63"/>
      <c r="E155" s="63"/>
      <c r="F155" s="63"/>
      <c r="G155" s="63"/>
      <c r="H155" s="63"/>
      <c r="I155" s="63"/>
      <c r="J155" s="63"/>
      <c r="K155" s="64"/>
    </row>
    <row r="156" spans="2:11" x14ac:dyDescent="0.25">
      <c r="B156" s="62" t="s">
        <v>53</v>
      </c>
      <c r="C156" s="63"/>
      <c r="D156" s="63"/>
      <c r="E156" s="63"/>
      <c r="F156" s="63"/>
      <c r="G156" s="63"/>
      <c r="H156" s="63"/>
      <c r="I156" s="63"/>
      <c r="J156" s="63"/>
      <c r="K156" s="64"/>
    </row>
    <row r="157" spans="2:11" x14ac:dyDescent="0.25">
      <c r="B157" s="62" t="s">
        <v>50</v>
      </c>
      <c r="C157" s="63"/>
      <c r="D157" s="63"/>
      <c r="E157" s="63"/>
      <c r="F157" s="63"/>
      <c r="G157" s="63"/>
      <c r="H157" s="63"/>
      <c r="I157" s="63"/>
      <c r="J157" s="63"/>
      <c r="K157" s="64"/>
    </row>
    <row r="158" spans="2:11" x14ac:dyDescent="0.25">
      <c r="B158" s="62" t="s">
        <v>44</v>
      </c>
      <c r="C158" s="63"/>
      <c r="D158" s="63"/>
      <c r="E158" s="63"/>
      <c r="F158" s="63"/>
      <c r="G158" s="63"/>
      <c r="H158" s="63"/>
      <c r="I158" s="63"/>
      <c r="J158" s="63"/>
      <c r="K158" s="64"/>
    </row>
    <row r="159" spans="2:11" x14ac:dyDescent="0.25">
      <c r="B159" s="62" t="s">
        <v>45</v>
      </c>
      <c r="C159" s="63"/>
      <c r="D159" s="63"/>
      <c r="E159" s="63"/>
      <c r="F159" s="63"/>
      <c r="G159" s="63"/>
      <c r="H159" s="63"/>
      <c r="I159" s="63"/>
      <c r="J159" s="63"/>
      <c r="K159" s="64"/>
    </row>
    <row r="160" spans="2:11" x14ac:dyDescent="0.25">
      <c r="B160" s="62" t="s">
        <v>46</v>
      </c>
      <c r="C160" s="63"/>
      <c r="D160" s="63"/>
      <c r="E160" s="63"/>
      <c r="F160" s="63"/>
      <c r="G160" s="63"/>
      <c r="H160" s="63"/>
      <c r="I160" s="63"/>
      <c r="J160" s="63"/>
      <c r="K160" s="64"/>
    </row>
    <row r="161" spans="2:11" x14ac:dyDescent="0.25">
      <c r="B161" s="62" t="s">
        <v>47</v>
      </c>
      <c r="C161" s="63"/>
      <c r="D161" s="63"/>
      <c r="E161" s="63"/>
      <c r="F161" s="63"/>
      <c r="G161" s="63"/>
      <c r="H161" s="63"/>
      <c r="I161" s="63"/>
      <c r="J161" s="63"/>
      <c r="K161" s="64"/>
    </row>
    <row r="162" spans="2:11" x14ac:dyDescent="0.25">
      <c r="B162" s="62" t="s">
        <v>48</v>
      </c>
      <c r="C162" s="63"/>
      <c r="D162" s="63"/>
      <c r="E162" s="63"/>
      <c r="F162" s="63"/>
      <c r="G162" s="63"/>
      <c r="H162" s="63"/>
      <c r="I162" s="63"/>
      <c r="J162" s="63"/>
      <c r="K162" s="64"/>
    </row>
    <row r="163" spans="2:11" x14ac:dyDescent="0.25">
      <c r="B163" s="65" t="s">
        <v>49</v>
      </c>
      <c r="C163" s="66"/>
      <c r="D163" s="66"/>
      <c r="E163" s="66"/>
      <c r="F163" s="66"/>
      <c r="G163" s="66"/>
      <c r="H163" s="66"/>
      <c r="I163" s="66"/>
      <c r="J163" s="66"/>
      <c r="K163" s="67"/>
    </row>
  </sheetData>
  <phoneticPr fontId="17" type="noConversion"/>
  <pageMargins left="0.78740157499999996" right="0.78740157499999996" top="0.984251969" bottom="0.984251969" header="0.3" footer="0.3"/>
  <pageSetup paperSize="9" orientation="portrait" r:id="rId1"/>
  <ignoredErrors>
    <ignoredError sqref="C14:D14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Synthèse données &amp; ratios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FP-Consulting</dc:creator>
  <cp:lastModifiedBy>Anouar Hassoune</cp:lastModifiedBy>
  <cp:lastPrinted>2014-05-08T11:46:14Z</cp:lastPrinted>
  <dcterms:created xsi:type="dcterms:W3CDTF">2013-02-17T08:35:08Z</dcterms:created>
  <dcterms:modified xsi:type="dcterms:W3CDTF">2021-08-11T07:20:17Z</dcterms:modified>
</cp:coreProperties>
</file>